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userName="s177040" algorithmName="SHA-512" hashValue="P8xy+4EKn4xrzgE32jgn94QTEnXcDupbq/aXFgh33uJEnlDHUDzL3HqzNJ0QxVMzXNvcIUE27+hkIm4oQkxuOA==" saltValue="+kknCnHVT5cfo6BDv9uMfg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4 Annual Update\Filed Documents 6-14-24\"/>
    </mc:Choice>
  </mc:AlternateContent>
  <xr:revisionPtr revIDLastSave="0" documentId="13_ncr:10001_{7D793BB5-9E42-4EE3-BD81-A1E94D49BAF5}" xr6:coauthVersionLast="47" xr6:coauthVersionMax="47" xr10:uidLastSave="{00000000-0000-0000-0000-000000000000}"/>
  <bookViews>
    <workbookView xWindow="-48120" yWindow="-15" windowWidth="24240" windowHeight="13020" activeTab="1" xr2:uid="{00000000-000D-0000-FFFF-FFFF00000000}"/>
  </bookViews>
  <sheets>
    <sheet name="Instructions" sheetId="33" r:id="rId1"/>
    <sheet name="2021 NOLC Refund Detail" sheetId="34" r:id="rId2"/>
    <sheet name="Summary" sheetId="29" r:id="rId3"/>
    <sheet name="Pivot" sheetId="31" r:id="rId4"/>
    <sheet name="Transactions" sheetId="18" r:id="rId5"/>
  </sheets>
  <definedNames>
    <definedName name="_xlnm._FilterDatabase" localSheetId="4" hidden="1">Transactions!$A$15:$R$211</definedName>
    <definedName name="AS1_1999" localSheetId="4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2">Summary!$C$1:$I$40</definedName>
    <definedName name="_xlnm.Print_Area" localSheetId="4">Transactions!$A$1:$R$211</definedName>
    <definedName name="_xlnm.Print_Titles" localSheetId="3">Pivot!$3:$4</definedName>
    <definedName name="_xlnm.Print_Titles" localSheetId="4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3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4" l="1"/>
  <c r="C19" i="34"/>
  <c r="B4" i="34"/>
  <c r="B13" i="34"/>
  <c r="G21" i="29"/>
  <c r="C9" i="34" l="1"/>
  <c r="E9" i="34" s="1"/>
  <c r="H26" i="29" s="1"/>
  <c r="C4" i="34"/>
  <c r="C8" i="34"/>
  <c r="C7" i="34"/>
  <c r="C16" i="34"/>
  <c r="C14" i="34"/>
  <c r="C12" i="34"/>
  <c r="C18" i="34"/>
  <c r="C5" i="34"/>
  <c r="C11" i="34"/>
  <c r="C20" i="34"/>
  <c r="C15" i="34"/>
  <c r="C6" i="34"/>
  <c r="C10" i="34"/>
  <c r="D8" i="34"/>
  <c r="E2" i="34"/>
  <c r="D16" i="34"/>
  <c r="D7" i="34"/>
  <c r="D15" i="34"/>
  <c r="D4" i="34"/>
  <c r="D14" i="34"/>
  <c r="D12" i="34"/>
  <c r="D11" i="34"/>
  <c r="D20" i="34"/>
  <c r="D10" i="34"/>
  <c r="D19" i="34"/>
  <c r="E19" i="34" s="1"/>
  <c r="H36" i="29" s="1"/>
  <c r="D6" i="34"/>
  <c r="D5" i="34"/>
  <c r="D18" i="34"/>
  <c r="D13" i="34"/>
  <c r="C13" i="34"/>
  <c r="C21" i="34" l="1"/>
  <c r="E11" i="34"/>
  <c r="H28" i="29" s="1"/>
  <c r="E15" i="34"/>
  <c r="H32" i="29" s="1"/>
  <c r="E16" i="34"/>
  <c r="H33" i="29" s="1"/>
  <c r="E8" i="34"/>
  <c r="H25" i="29" s="1"/>
  <c r="E4" i="34"/>
  <c r="H21" i="29" s="1"/>
  <c r="E14" i="34"/>
  <c r="H31" i="29" s="1"/>
  <c r="E6" i="34"/>
  <c r="H23" i="29" s="1"/>
  <c r="E12" i="34"/>
  <c r="H29" i="29" s="1"/>
  <c r="E7" i="34"/>
  <c r="H24" i="29" s="1"/>
  <c r="E5" i="34"/>
  <c r="H22" i="29" s="1"/>
  <c r="E10" i="34"/>
  <c r="H27" i="29" s="1"/>
  <c r="E20" i="34"/>
  <c r="H37" i="29" s="1"/>
  <c r="D21" i="34"/>
  <c r="E18" i="34"/>
  <c r="H35" i="29" s="1"/>
  <c r="D17" i="34"/>
  <c r="C17" i="34"/>
  <c r="C22" i="34" s="1"/>
  <c r="E13" i="34"/>
  <c r="H30" i="29" s="1"/>
  <c r="D22" i="34" l="1"/>
  <c r="E21" i="34"/>
  <c r="E17" i="34"/>
  <c r="G212" i="18"/>
  <c r="E22" i="34" l="1"/>
  <c r="C5" i="29"/>
  <c r="L3" i="18" l="1"/>
  <c r="K1" i="18" l="1"/>
  <c r="B79" i="18"/>
  <c r="B78" i="18"/>
  <c r="B77" i="18"/>
  <c r="B76" i="18"/>
  <c r="B75" i="18"/>
  <c r="B74" i="18"/>
  <c r="B73" i="18"/>
  <c r="B72" i="18"/>
  <c r="B71" i="18"/>
  <c r="B70" i="18"/>
  <c r="B69" i="18"/>
  <c r="B68" i="18"/>
  <c r="E20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54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C49" i="18" s="1"/>
  <c r="B169" i="18"/>
  <c r="B168" i="18"/>
  <c r="B167" i="18"/>
  <c r="B166" i="18"/>
  <c r="C33" i="18"/>
  <c r="C45" i="18" s="1"/>
  <c r="B165" i="18"/>
  <c r="C32" i="18"/>
  <c r="C44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3" i="29"/>
  <c r="F10" i="29"/>
  <c r="E26" i="29"/>
  <c r="G35" i="29"/>
  <c r="E29" i="29"/>
  <c r="G31" i="29"/>
  <c r="E36" i="29"/>
  <c r="G26" i="29"/>
  <c r="E21" i="29"/>
  <c r="G37" i="29"/>
  <c r="E32" i="29"/>
  <c r="E22" i="29"/>
  <c r="E24" i="29"/>
  <c r="E25" i="29"/>
  <c r="E30" i="29"/>
  <c r="G30" i="29"/>
  <c r="G23" i="29"/>
  <c r="G29" i="29"/>
  <c r="E27" i="29"/>
  <c r="G36" i="29"/>
  <c r="E28" i="29"/>
  <c r="G28" i="29"/>
  <c r="G24" i="29"/>
  <c r="G22" i="29"/>
  <c r="G25" i="29"/>
  <c r="E33" i="29"/>
  <c r="E35" i="29"/>
  <c r="E23" i="29"/>
  <c r="G27" i="29"/>
  <c r="G33" i="29"/>
  <c r="G32" i="29"/>
  <c r="E31" i="29"/>
  <c r="E37" i="29"/>
  <c r="D30" i="29"/>
  <c r="C57" i="18" l="1"/>
  <c r="C81" i="18" s="1"/>
  <c r="C93" i="18" s="1"/>
  <c r="C105" i="18" s="1"/>
  <c r="C117" i="18" s="1"/>
  <c r="C129" i="18" s="1"/>
  <c r="C141" i="18" s="1"/>
  <c r="C153" i="18" s="1"/>
  <c r="C177" i="18" s="1"/>
  <c r="C189" i="18" s="1"/>
  <c r="C201" i="18" s="1"/>
  <c r="C72" i="18"/>
  <c r="C56" i="18"/>
  <c r="C80" i="18" s="1"/>
  <c r="C92" i="18" s="1"/>
  <c r="C104" i="18" s="1"/>
  <c r="C116" i="18" s="1"/>
  <c r="C128" i="18" s="1"/>
  <c r="C140" i="18" s="1"/>
  <c r="C152" i="18" s="1"/>
  <c r="C176" i="18" s="1"/>
  <c r="C188" i="18" s="1"/>
  <c r="C200" i="18" s="1"/>
  <c r="D55" i="18"/>
  <c r="C53" i="18"/>
  <c r="D63" i="18"/>
  <c r="D87" i="18" s="1"/>
  <c r="D99" i="18" s="1"/>
  <c r="D111" i="18" s="1"/>
  <c r="D123" i="18" s="1"/>
  <c r="D135" i="18" s="1"/>
  <c r="D147" i="18" s="1"/>
  <c r="D159" i="18" s="1"/>
  <c r="D183" i="18" s="1"/>
  <c r="D195" i="18" s="1"/>
  <c r="D207" i="18" s="1"/>
  <c r="D50" i="18"/>
  <c r="D66" i="18"/>
  <c r="D78" i="18" s="1"/>
  <c r="C66" i="18"/>
  <c r="C78" i="18" s="1"/>
  <c r="D57" i="18"/>
  <c r="D81" i="18" s="1"/>
  <c r="D93" i="18" s="1"/>
  <c r="D105" i="18" s="1"/>
  <c r="D117" i="18" s="1"/>
  <c r="D129" i="18" s="1"/>
  <c r="D141" i="18" s="1"/>
  <c r="D153" i="18" s="1"/>
  <c r="D46" i="18"/>
  <c r="C61" i="18"/>
  <c r="C73" i="18" s="1"/>
  <c r="C64" i="18"/>
  <c r="C76" i="18" s="1"/>
  <c r="C63" i="18"/>
  <c r="D79" i="18"/>
  <c r="D53" i="18"/>
  <c r="E10" i="29"/>
  <c r="D20" i="29"/>
  <c r="O13" i="18"/>
  <c r="C67" i="18"/>
  <c r="C79" i="18" s="1"/>
  <c r="D77" i="18"/>
  <c r="D89" i="18"/>
  <c r="D101" i="18" s="1"/>
  <c r="D113" i="18" s="1"/>
  <c r="D125" i="18" s="1"/>
  <c r="D137" i="18" s="1"/>
  <c r="D149" i="18" s="1"/>
  <c r="D161" i="18" s="1"/>
  <c r="D185" i="18" s="1"/>
  <c r="D197" i="18" s="1"/>
  <c r="D209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D56" i="18"/>
  <c r="D80" i="18" s="1"/>
  <c r="D92" i="18" s="1"/>
  <c r="D104" i="18" s="1"/>
  <c r="D116" i="18" s="1"/>
  <c r="D128" i="18" s="1"/>
  <c r="D140" i="18" s="1"/>
  <c r="D152" i="18" s="1"/>
  <c r="F30" i="29"/>
  <c r="I30" i="29" s="1"/>
  <c r="H34" i="29"/>
  <c r="G34" i="29"/>
  <c r="E34" i="29"/>
  <c r="H38" i="29"/>
  <c r="E38" i="29"/>
  <c r="G38" i="29"/>
  <c r="C180" i="18"/>
  <c r="C192" i="18" s="1"/>
  <c r="C204" i="18" s="1"/>
  <c r="C168" i="18"/>
  <c r="O14" i="18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89" i="18"/>
  <c r="C101" i="18" s="1"/>
  <c r="C113" i="18" s="1"/>
  <c r="C125" i="18" s="1"/>
  <c r="C137" i="18" s="1"/>
  <c r="C149" i="18" s="1"/>
  <c r="C161" i="18" s="1"/>
  <c r="C77" i="18"/>
  <c r="D64" i="18"/>
  <c r="D52" i="18"/>
  <c r="D24" i="29"/>
  <c r="D35" i="29"/>
  <c r="D27" i="29"/>
  <c r="D37" i="29"/>
  <c r="D31" i="29"/>
  <c r="D22" i="29"/>
  <c r="D33" i="29"/>
  <c r="D25" i="29"/>
  <c r="D26" i="29"/>
  <c r="D28" i="29"/>
  <c r="D32" i="29"/>
  <c r="D23" i="29"/>
  <c r="D29" i="29"/>
  <c r="D36" i="29"/>
  <c r="D21" i="29"/>
  <c r="F24" i="29" l="1"/>
  <c r="I24" i="29" s="1"/>
  <c r="F22" i="29"/>
  <c r="I22" i="29" s="1"/>
  <c r="F35" i="29"/>
  <c r="I35" i="29" s="1"/>
  <c r="F36" i="29"/>
  <c r="I36" i="29" s="1"/>
  <c r="F28" i="29"/>
  <c r="I28" i="29" s="1"/>
  <c r="F37" i="29"/>
  <c r="I37" i="29" s="1"/>
  <c r="D38" i="29"/>
  <c r="F21" i="29"/>
  <c r="I21" i="29" s="1"/>
  <c r="D34" i="29"/>
  <c r="F26" i="29"/>
  <c r="I26" i="29" s="1"/>
  <c r="F23" i="29"/>
  <c r="I23" i="29" s="1"/>
  <c r="F29" i="29"/>
  <c r="I29" i="29" s="1"/>
  <c r="F33" i="29"/>
  <c r="I33" i="29" s="1"/>
  <c r="F32" i="29"/>
  <c r="I32" i="29" s="1"/>
  <c r="F25" i="29"/>
  <c r="I25" i="29" s="1"/>
  <c r="F31" i="29"/>
  <c r="I31" i="29" s="1"/>
  <c r="F27" i="29"/>
  <c r="I27" i="29" s="1"/>
  <c r="D171" i="18"/>
  <c r="C165" i="18"/>
  <c r="C69" i="18"/>
  <c r="C164" i="18"/>
  <c r="C68" i="18"/>
  <c r="C91" i="18"/>
  <c r="C103" i="18" s="1"/>
  <c r="C115" i="18" s="1"/>
  <c r="C127" i="18" s="1"/>
  <c r="C139" i="18" s="1"/>
  <c r="C151" i="18" s="1"/>
  <c r="C163" i="18" s="1"/>
  <c r="C187" i="18" s="1"/>
  <c r="C199" i="18" s="1"/>
  <c r="C211" i="18" s="1"/>
  <c r="D90" i="18"/>
  <c r="D102" i="18" s="1"/>
  <c r="D114" i="18" s="1"/>
  <c r="D126" i="18" s="1"/>
  <c r="D138" i="18" s="1"/>
  <c r="D150" i="18" s="1"/>
  <c r="D162" i="18" s="1"/>
  <c r="D174" i="18" s="1"/>
  <c r="D75" i="18"/>
  <c r="C90" i="18"/>
  <c r="C102" i="18" s="1"/>
  <c r="C114" i="18" s="1"/>
  <c r="C126" i="18" s="1"/>
  <c r="C138" i="18" s="1"/>
  <c r="C150" i="18" s="1"/>
  <c r="C162" i="18" s="1"/>
  <c r="C186" i="18" s="1"/>
  <c r="C198" i="18" s="1"/>
  <c r="C210" i="18" s="1"/>
  <c r="C88" i="18"/>
  <c r="C100" i="18" s="1"/>
  <c r="C112" i="18" s="1"/>
  <c r="C124" i="18" s="1"/>
  <c r="C136" i="18" s="1"/>
  <c r="C148" i="18" s="1"/>
  <c r="C160" i="18" s="1"/>
  <c r="C172" i="18" s="1"/>
  <c r="D69" i="18"/>
  <c r="D84" i="18"/>
  <c r="D96" i="18" s="1"/>
  <c r="D108" i="18" s="1"/>
  <c r="D120" i="18" s="1"/>
  <c r="D132" i="18" s="1"/>
  <c r="D144" i="18" s="1"/>
  <c r="D156" i="18" s="1"/>
  <c r="D180" i="18" s="1"/>
  <c r="D192" i="18" s="1"/>
  <c r="D204" i="18" s="1"/>
  <c r="D182" i="18"/>
  <c r="D194" i="18" s="1"/>
  <c r="D206" i="18" s="1"/>
  <c r="D68" i="18"/>
  <c r="C85" i="18"/>
  <c r="C97" i="18" s="1"/>
  <c r="C109" i="18" s="1"/>
  <c r="C121" i="18" s="1"/>
  <c r="C133" i="18" s="1"/>
  <c r="C145" i="18" s="1"/>
  <c r="C157" i="18" s="1"/>
  <c r="C181" i="18" s="1"/>
  <c r="C193" i="18" s="1"/>
  <c r="C205" i="18" s="1"/>
  <c r="D173" i="18"/>
  <c r="C87" i="18"/>
  <c r="C99" i="18" s="1"/>
  <c r="C111" i="18" s="1"/>
  <c r="C123" i="18" s="1"/>
  <c r="C135" i="18" s="1"/>
  <c r="C147" i="18" s="1"/>
  <c r="C159" i="18" s="1"/>
  <c r="C75" i="18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E39" i="29"/>
  <c r="D88" i="18"/>
  <c r="D100" i="18" s="1"/>
  <c r="D112" i="18" s="1"/>
  <c r="D124" i="18" s="1"/>
  <c r="D136" i="18" s="1"/>
  <c r="D148" i="18" s="1"/>
  <c r="D160" i="18" s="1"/>
  <c r="D76" i="18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H39" i="29"/>
  <c r="F38" i="29" l="1"/>
  <c r="D39" i="29"/>
  <c r="F34" i="29"/>
  <c r="C175" i="18"/>
  <c r="D186" i="18"/>
  <c r="D198" i="18" s="1"/>
  <c r="D210" i="18" s="1"/>
  <c r="D168" i="18"/>
  <c r="C174" i="18"/>
  <c r="C184" i="18"/>
  <c r="C196" i="18" s="1"/>
  <c r="C208" i="18" s="1"/>
  <c r="C169" i="18"/>
  <c r="C183" i="18"/>
  <c r="C195" i="18" s="1"/>
  <c r="C207" i="18" s="1"/>
  <c r="C171" i="18"/>
  <c r="Q13" i="18"/>
  <c r="Q14" i="18"/>
  <c r="C170" i="18"/>
  <c r="C182" i="18"/>
  <c r="C194" i="18" s="1"/>
  <c r="C206" i="18" s="1"/>
  <c r="C178" i="18"/>
  <c r="C190" i="18" s="1"/>
  <c r="C202" i="18" s="1"/>
  <c r="C166" i="18"/>
  <c r="I34" i="29"/>
  <c r="I38" i="29"/>
  <c r="C167" i="18"/>
  <c r="C179" i="18"/>
  <c r="C191" i="18" s="1"/>
  <c r="C203" i="18" s="1"/>
  <c r="D184" i="18"/>
  <c r="D196" i="18" s="1"/>
  <c r="D208" i="18" s="1"/>
  <c r="D172" i="18"/>
  <c r="F39" i="29" l="1"/>
  <c r="I39" i="29"/>
  <c r="E11" i="29" l="1"/>
  <c r="H211" i="18" l="1"/>
  <c r="K211" i="18" s="1"/>
  <c r="H36" i="18"/>
  <c r="K36" i="18" s="1"/>
  <c r="H148" i="18"/>
  <c r="K148" i="18" s="1"/>
  <c r="H140" i="18"/>
  <c r="K140" i="18" s="1"/>
  <c r="H120" i="18"/>
  <c r="K120" i="18" s="1"/>
  <c r="H112" i="18"/>
  <c r="K112" i="18" s="1"/>
  <c r="H57" i="18"/>
  <c r="K57" i="18" s="1"/>
  <c r="H121" i="18"/>
  <c r="K121" i="18" s="1"/>
  <c r="H181" i="18"/>
  <c r="K181" i="18" s="1"/>
  <c r="H22" i="18"/>
  <c r="K22" i="18" s="1"/>
  <c r="H54" i="18"/>
  <c r="K54" i="18" s="1"/>
  <c r="H86" i="18"/>
  <c r="K86" i="18" s="1"/>
  <c r="H118" i="18"/>
  <c r="K118" i="18" s="1"/>
  <c r="H150" i="18"/>
  <c r="K150" i="18" s="1"/>
  <c r="H182" i="18"/>
  <c r="K182" i="18" s="1"/>
  <c r="H164" i="18"/>
  <c r="K164" i="18" s="1"/>
  <c r="H196" i="18"/>
  <c r="K196" i="18" s="1"/>
  <c r="H53" i="18"/>
  <c r="K53" i="18" s="1"/>
  <c r="H117" i="18"/>
  <c r="K117" i="18" s="1"/>
  <c r="H23" i="18"/>
  <c r="K23" i="18" s="1"/>
  <c r="H55" i="18"/>
  <c r="K55" i="18" s="1"/>
  <c r="H87" i="18"/>
  <c r="K87" i="18" s="1"/>
  <c r="H119" i="18"/>
  <c r="K119" i="18" s="1"/>
  <c r="H151" i="18"/>
  <c r="K151" i="18" s="1"/>
  <c r="H183" i="18"/>
  <c r="K183" i="18" s="1"/>
  <c r="H105" i="18"/>
  <c r="K105" i="18" s="1"/>
  <c r="H78" i="18"/>
  <c r="K78" i="18" s="1"/>
  <c r="H47" i="18"/>
  <c r="K47" i="18" s="1"/>
  <c r="H124" i="18"/>
  <c r="K124" i="18" s="1"/>
  <c r="H114" i="18"/>
  <c r="K114" i="18" s="1"/>
  <c r="H177" i="18"/>
  <c r="K177" i="18" s="1"/>
  <c r="H100" i="18"/>
  <c r="K100" i="18" s="1"/>
  <c r="H28" i="18"/>
  <c r="K28" i="18" s="1"/>
  <c r="H156" i="18"/>
  <c r="K156" i="18" s="1"/>
  <c r="H136" i="18"/>
  <c r="K136" i="18" s="1"/>
  <c r="H128" i="18"/>
  <c r="K128" i="18" s="1"/>
  <c r="H65" i="18"/>
  <c r="K65" i="18" s="1"/>
  <c r="H129" i="18"/>
  <c r="K129" i="18" s="1"/>
  <c r="H185" i="18"/>
  <c r="K185" i="18" s="1"/>
  <c r="H26" i="18"/>
  <c r="K26" i="18" s="1"/>
  <c r="H58" i="18"/>
  <c r="K58" i="18" s="1"/>
  <c r="H90" i="18"/>
  <c r="K90" i="18" s="1"/>
  <c r="H122" i="18"/>
  <c r="K122" i="18" s="1"/>
  <c r="H154" i="18"/>
  <c r="K154" i="18" s="1"/>
  <c r="H186" i="18"/>
  <c r="K186" i="18" s="1"/>
  <c r="H168" i="18"/>
  <c r="K168" i="18" s="1"/>
  <c r="H200" i="18"/>
  <c r="K200" i="18" s="1"/>
  <c r="H61" i="18"/>
  <c r="K61" i="18" s="1"/>
  <c r="H125" i="18"/>
  <c r="K125" i="18" s="1"/>
  <c r="H27" i="18"/>
  <c r="K27" i="18" s="1"/>
  <c r="H59" i="18"/>
  <c r="K59" i="18" s="1"/>
  <c r="H91" i="18"/>
  <c r="K91" i="18" s="1"/>
  <c r="H123" i="18"/>
  <c r="K123" i="18" s="1"/>
  <c r="H155" i="18"/>
  <c r="K155" i="18" s="1"/>
  <c r="H187" i="18"/>
  <c r="K187" i="18" s="1"/>
  <c r="H159" i="18"/>
  <c r="K159" i="18" s="1"/>
  <c r="H191" i="18"/>
  <c r="K191" i="18" s="1"/>
  <c r="H195" i="18"/>
  <c r="K195" i="18" s="1"/>
  <c r="H108" i="18"/>
  <c r="K108" i="18" s="1"/>
  <c r="H169" i="18"/>
  <c r="K169" i="18" s="1"/>
  <c r="H142" i="18"/>
  <c r="K142" i="18" s="1"/>
  <c r="H101" i="18"/>
  <c r="K101" i="18" s="1"/>
  <c r="H111" i="18"/>
  <c r="K111" i="18" s="1"/>
  <c r="H96" i="18"/>
  <c r="K96" i="18" s="1"/>
  <c r="H82" i="18"/>
  <c r="K82" i="18" s="1"/>
  <c r="H45" i="18"/>
  <c r="K45" i="18" s="1"/>
  <c r="H147" i="18"/>
  <c r="K147" i="18" s="1"/>
  <c r="H52" i="18"/>
  <c r="K52" i="18" s="1"/>
  <c r="H44" i="18"/>
  <c r="K44" i="18" s="1"/>
  <c r="H24" i="18"/>
  <c r="K24" i="18" s="1"/>
  <c r="H152" i="18"/>
  <c r="K152" i="18" s="1"/>
  <c r="H144" i="18"/>
  <c r="K144" i="18" s="1"/>
  <c r="H73" i="18"/>
  <c r="K73" i="18" s="1"/>
  <c r="H137" i="18"/>
  <c r="K137" i="18" s="1"/>
  <c r="H189" i="18"/>
  <c r="K189" i="18" s="1"/>
  <c r="H30" i="18"/>
  <c r="K30" i="18" s="1"/>
  <c r="H62" i="18"/>
  <c r="K62" i="18" s="1"/>
  <c r="H94" i="18"/>
  <c r="K94" i="18" s="1"/>
  <c r="H126" i="18"/>
  <c r="K126" i="18" s="1"/>
  <c r="H158" i="18"/>
  <c r="K158" i="18" s="1"/>
  <c r="H190" i="18"/>
  <c r="K190" i="18" s="1"/>
  <c r="H172" i="18"/>
  <c r="K172" i="18" s="1"/>
  <c r="H204" i="18"/>
  <c r="K204" i="18" s="1"/>
  <c r="H69" i="18"/>
  <c r="K69" i="18" s="1"/>
  <c r="H133" i="18"/>
  <c r="K133" i="18" s="1"/>
  <c r="H31" i="18"/>
  <c r="K31" i="18" s="1"/>
  <c r="H63" i="18"/>
  <c r="K63" i="18" s="1"/>
  <c r="H95" i="18"/>
  <c r="K95" i="18" s="1"/>
  <c r="H127" i="18"/>
  <c r="K127" i="18" s="1"/>
  <c r="H88" i="18"/>
  <c r="K88" i="18" s="1"/>
  <c r="H206" i="18"/>
  <c r="K206" i="18" s="1"/>
  <c r="H175" i="18"/>
  <c r="K175" i="18" s="1"/>
  <c r="H49" i="18"/>
  <c r="K49" i="18" s="1"/>
  <c r="H173" i="18"/>
  <c r="K173" i="18" s="1"/>
  <c r="H178" i="18"/>
  <c r="K178" i="18" s="1"/>
  <c r="H109" i="18"/>
  <c r="K109" i="18" s="1"/>
  <c r="H115" i="18"/>
  <c r="K115" i="18" s="1"/>
  <c r="H68" i="18"/>
  <c r="K68" i="18" s="1"/>
  <c r="H60" i="18"/>
  <c r="K60" i="18" s="1"/>
  <c r="H40" i="18"/>
  <c r="K40" i="18" s="1"/>
  <c r="H32" i="18"/>
  <c r="K32" i="18" s="1"/>
  <c r="H160" i="18"/>
  <c r="K160" i="18" s="1"/>
  <c r="H81" i="18"/>
  <c r="K81" i="18" s="1"/>
  <c r="H145" i="18"/>
  <c r="K145" i="18" s="1"/>
  <c r="H193" i="18"/>
  <c r="K193" i="18" s="1"/>
  <c r="H34" i="18"/>
  <c r="K34" i="18" s="1"/>
  <c r="H66" i="18"/>
  <c r="K66" i="18" s="1"/>
  <c r="H98" i="18"/>
  <c r="K98" i="18" s="1"/>
  <c r="H130" i="18"/>
  <c r="K130" i="18" s="1"/>
  <c r="H162" i="18"/>
  <c r="K162" i="18" s="1"/>
  <c r="H194" i="18"/>
  <c r="K194" i="18" s="1"/>
  <c r="H176" i="18"/>
  <c r="K176" i="18" s="1"/>
  <c r="H208" i="18"/>
  <c r="K208" i="18" s="1"/>
  <c r="H77" i="18"/>
  <c r="K77" i="18" s="1"/>
  <c r="H141" i="18"/>
  <c r="K141" i="18" s="1"/>
  <c r="H35" i="18"/>
  <c r="K35" i="18" s="1"/>
  <c r="H67" i="18"/>
  <c r="K67" i="18" s="1"/>
  <c r="H99" i="18"/>
  <c r="K99" i="18" s="1"/>
  <c r="H131" i="18"/>
  <c r="K131" i="18" s="1"/>
  <c r="H163" i="18"/>
  <c r="K163" i="18" s="1"/>
  <c r="H41" i="18"/>
  <c r="K41" i="18" s="1"/>
  <c r="H110" i="18"/>
  <c r="K110" i="18" s="1"/>
  <c r="H37" i="18"/>
  <c r="K37" i="18" s="1"/>
  <c r="H207" i="18"/>
  <c r="K207" i="18" s="1"/>
  <c r="H113" i="18"/>
  <c r="K113" i="18" s="1"/>
  <c r="H209" i="18"/>
  <c r="K209" i="18" s="1"/>
  <c r="H210" i="18"/>
  <c r="K210" i="18" s="1"/>
  <c r="H83" i="18"/>
  <c r="K83" i="18" s="1"/>
  <c r="H132" i="18"/>
  <c r="K132" i="18" s="1"/>
  <c r="H76" i="18"/>
  <c r="K76" i="18" s="1"/>
  <c r="H56" i="18"/>
  <c r="K56" i="18" s="1"/>
  <c r="H48" i="18"/>
  <c r="K48" i="18" s="1"/>
  <c r="H25" i="18"/>
  <c r="K25" i="18" s="1"/>
  <c r="H89" i="18"/>
  <c r="K89" i="18" s="1"/>
  <c r="H153" i="18"/>
  <c r="K153" i="18" s="1"/>
  <c r="H197" i="18"/>
  <c r="K197" i="18" s="1"/>
  <c r="H38" i="18"/>
  <c r="K38" i="18" s="1"/>
  <c r="H70" i="18"/>
  <c r="K70" i="18" s="1"/>
  <c r="H102" i="18"/>
  <c r="K102" i="18" s="1"/>
  <c r="H134" i="18"/>
  <c r="K134" i="18" s="1"/>
  <c r="H166" i="18"/>
  <c r="K166" i="18" s="1"/>
  <c r="H198" i="18"/>
  <c r="K198" i="18" s="1"/>
  <c r="H180" i="18"/>
  <c r="K180" i="18" s="1"/>
  <c r="H21" i="18"/>
  <c r="K21" i="18" s="1"/>
  <c r="H85" i="18"/>
  <c r="K85" i="18" s="1"/>
  <c r="H149" i="18"/>
  <c r="K149" i="18" s="1"/>
  <c r="H39" i="18"/>
  <c r="K39" i="18" s="1"/>
  <c r="H71" i="18"/>
  <c r="K71" i="18" s="1"/>
  <c r="H103" i="18"/>
  <c r="K103" i="18" s="1"/>
  <c r="H135" i="18"/>
  <c r="K135" i="18" s="1"/>
  <c r="H167" i="18"/>
  <c r="K167" i="18" s="1"/>
  <c r="H199" i="18"/>
  <c r="K199" i="18" s="1"/>
  <c r="H80" i="18"/>
  <c r="K80" i="18" s="1"/>
  <c r="H205" i="18"/>
  <c r="K205" i="18" s="1"/>
  <c r="H174" i="18"/>
  <c r="K174" i="18" s="1"/>
  <c r="H165" i="18"/>
  <c r="K165" i="18" s="1"/>
  <c r="H143" i="18"/>
  <c r="K143" i="18" s="1"/>
  <c r="H84" i="18"/>
  <c r="K84" i="18" s="1"/>
  <c r="H146" i="18"/>
  <c r="K146" i="18" s="1"/>
  <c r="H51" i="18"/>
  <c r="K51" i="18" s="1"/>
  <c r="H116" i="18"/>
  <c r="K116" i="18" s="1"/>
  <c r="H92" i="18"/>
  <c r="K92" i="18" s="1"/>
  <c r="H72" i="18"/>
  <c r="K72" i="18" s="1"/>
  <c r="H64" i="18"/>
  <c r="K64" i="18" s="1"/>
  <c r="H33" i="18"/>
  <c r="K33" i="18" s="1"/>
  <c r="H97" i="18"/>
  <c r="K97" i="18" s="1"/>
  <c r="H161" i="18"/>
  <c r="K161" i="18" s="1"/>
  <c r="H201" i="18"/>
  <c r="K201" i="18" s="1"/>
  <c r="H42" i="18"/>
  <c r="K42" i="18" s="1"/>
  <c r="H74" i="18"/>
  <c r="K74" i="18" s="1"/>
  <c r="H106" i="18"/>
  <c r="K106" i="18" s="1"/>
  <c r="H138" i="18"/>
  <c r="K138" i="18" s="1"/>
  <c r="H170" i="18"/>
  <c r="K170" i="18" s="1"/>
  <c r="H202" i="18"/>
  <c r="K202" i="18" s="1"/>
  <c r="H184" i="18"/>
  <c r="K184" i="18" s="1"/>
  <c r="H29" i="18"/>
  <c r="K29" i="18" s="1"/>
  <c r="H93" i="18"/>
  <c r="K93" i="18" s="1"/>
  <c r="H157" i="18"/>
  <c r="K157" i="18" s="1"/>
  <c r="H43" i="18"/>
  <c r="K43" i="18" s="1"/>
  <c r="H75" i="18"/>
  <c r="K75" i="18" s="1"/>
  <c r="H107" i="18"/>
  <c r="K107" i="18" s="1"/>
  <c r="H139" i="18"/>
  <c r="K139" i="18" s="1"/>
  <c r="H171" i="18"/>
  <c r="K171" i="18" s="1"/>
  <c r="H203" i="18"/>
  <c r="K203" i="18" s="1"/>
  <c r="H20" i="18"/>
  <c r="K20" i="18" s="1"/>
  <c r="H46" i="18"/>
  <c r="K46" i="18" s="1"/>
  <c r="H188" i="18"/>
  <c r="K188" i="18" s="1"/>
  <c r="H79" i="18"/>
  <c r="K79" i="18" s="1"/>
  <c r="H104" i="18"/>
  <c r="K104" i="18" s="1"/>
  <c r="H50" i="18"/>
  <c r="K50" i="18" s="1"/>
  <c r="H192" i="18"/>
  <c r="K192" i="18" s="1"/>
  <c r="H179" i="18"/>
  <c r="K179" i="18" s="1"/>
  <c r="E13" i="29"/>
  <c r="K13" i="18" l="1"/>
  <c r="K212" i="18"/>
  <c r="K14" i="18"/>
  <c r="F12" i="29" l="1"/>
  <c r="I207" i="18" l="1"/>
  <c r="J207" i="18" s="1"/>
  <c r="L207" i="18" s="1"/>
  <c r="I101" i="18"/>
  <c r="J101" i="18" s="1"/>
  <c r="L101" i="18" s="1"/>
  <c r="I155" i="18"/>
  <c r="J155" i="18" s="1"/>
  <c r="L155" i="18" s="1"/>
  <c r="I20" i="18"/>
  <c r="J20" i="18" s="1"/>
  <c r="I144" i="18"/>
  <c r="J144" i="18" s="1"/>
  <c r="L144" i="18" s="1"/>
  <c r="I203" i="18"/>
  <c r="J203" i="18" s="1"/>
  <c r="L203" i="18" s="1"/>
  <c r="I26" i="18"/>
  <c r="J26" i="18" s="1"/>
  <c r="L26" i="18" s="1"/>
  <c r="I106" i="18"/>
  <c r="J106" i="18" s="1"/>
  <c r="L106" i="18" s="1"/>
  <c r="I61" i="18"/>
  <c r="J61" i="18" s="1"/>
  <c r="L61" i="18" s="1"/>
  <c r="I183" i="18"/>
  <c r="J183" i="18" s="1"/>
  <c r="L183" i="18" s="1"/>
  <c r="I49" i="18"/>
  <c r="J49" i="18" s="1"/>
  <c r="L49" i="18" s="1"/>
  <c r="I42" i="18"/>
  <c r="J42" i="18" s="1"/>
  <c r="L42" i="18" s="1"/>
  <c r="I116" i="18"/>
  <c r="J116" i="18" s="1"/>
  <c r="L116" i="18" s="1"/>
  <c r="I99" i="18"/>
  <c r="J99" i="18" s="1"/>
  <c r="L99" i="18" s="1"/>
  <c r="I81" i="18"/>
  <c r="J81" i="18" s="1"/>
  <c r="L81" i="18" s="1"/>
  <c r="I77" i="18"/>
  <c r="J77" i="18" s="1"/>
  <c r="L77" i="18" s="1"/>
  <c r="I154" i="18"/>
  <c r="J154" i="18" s="1"/>
  <c r="L154" i="18" s="1"/>
  <c r="I80" i="18"/>
  <c r="J80" i="18" s="1"/>
  <c r="L80" i="18" s="1"/>
  <c r="I45" i="18"/>
  <c r="J45" i="18" s="1"/>
  <c r="L45" i="18" s="1"/>
  <c r="I30" i="18"/>
  <c r="J30" i="18" s="1"/>
  <c r="L30" i="18" s="1"/>
  <c r="I141" i="18"/>
  <c r="J141" i="18" s="1"/>
  <c r="L141" i="18" s="1"/>
  <c r="I170" i="18"/>
  <c r="J170" i="18" s="1"/>
  <c r="L170" i="18" s="1"/>
  <c r="I44" i="18"/>
  <c r="J44" i="18" s="1"/>
  <c r="L44" i="18" s="1"/>
  <c r="I37" i="18"/>
  <c r="J37" i="18" s="1"/>
  <c r="L37" i="18" s="1"/>
  <c r="I115" i="18"/>
  <c r="J115" i="18" s="1"/>
  <c r="L115" i="18" s="1"/>
  <c r="I201" i="18"/>
  <c r="J201" i="18" s="1"/>
  <c r="L201" i="18" s="1"/>
  <c r="I198" i="18"/>
  <c r="J198" i="18" s="1"/>
  <c r="L198" i="18" s="1"/>
  <c r="I184" i="18"/>
  <c r="J184" i="18" s="1"/>
  <c r="L184" i="18" s="1"/>
  <c r="I191" i="18"/>
  <c r="J191" i="18" s="1"/>
  <c r="L191" i="18" s="1"/>
  <c r="I41" i="18"/>
  <c r="J41" i="18" s="1"/>
  <c r="L41" i="18" s="1"/>
  <c r="I111" i="18"/>
  <c r="J111" i="18" s="1"/>
  <c r="L111" i="18" s="1"/>
  <c r="I112" i="18"/>
  <c r="J112" i="18" s="1"/>
  <c r="L112" i="18" s="1"/>
  <c r="I150" i="18"/>
  <c r="J150" i="18" s="1"/>
  <c r="L150" i="18" s="1"/>
  <c r="I139" i="18"/>
  <c r="J139" i="18" s="1"/>
  <c r="L139" i="18" s="1"/>
  <c r="I204" i="18"/>
  <c r="J204" i="18" s="1"/>
  <c r="L204" i="18" s="1"/>
  <c r="I124" i="18"/>
  <c r="J124" i="18" s="1"/>
  <c r="L124" i="18" s="1"/>
  <c r="I165" i="18"/>
  <c r="J165" i="18" s="1"/>
  <c r="L165" i="18" s="1"/>
  <c r="I173" i="18"/>
  <c r="J173" i="18" s="1"/>
  <c r="L173" i="18" s="1"/>
  <c r="I105" i="18"/>
  <c r="J105" i="18" s="1"/>
  <c r="L105" i="18" s="1"/>
  <c r="I175" i="18"/>
  <c r="J175" i="18" s="1"/>
  <c r="L175" i="18" s="1"/>
  <c r="I174" i="18"/>
  <c r="J174" i="18" s="1"/>
  <c r="L174" i="18" s="1"/>
  <c r="I182" i="18"/>
  <c r="J182" i="18" s="1"/>
  <c r="L182" i="18" s="1"/>
  <c r="I126" i="18"/>
  <c r="J126" i="18" s="1"/>
  <c r="L126" i="18" s="1"/>
  <c r="I78" i="18"/>
  <c r="J78" i="18" s="1"/>
  <c r="L78" i="18" s="1"/>
  <c r="I52" i="18"/>
  <c r="J52" i="18" s="1"/>
  <c r="L52" i="18" s="1"/>
  <c r="I53" i="18"/>
  <c r="J53" i="18" s="1"/>
  <c r="L53" i="18" s="1"/>
  <c r="I192" i="18"/>
  <c r="J192" i="18" s="1"/>
  <c r="L192" i="18" s="1"/>
  <c r="I25" i="18"/>
  <c r="J25" i="18" s="1"/>
  <c r="L25" i="18" s="1"/>
  <c r="I110" i="18"/>
  <c r="J110" i="18" s="1"/>
  <c r="L110" i="18" s="1"/>
  <c r="I82" i="18"/>
  <c r="J82" i="18" s="1"/>
  <c r="L82" i="18" s="1"/>
  <c r="I123" i="18"/>
  <c r="J123" i="18" s="1"/>
  <c r="L123" i="18" s="1"/>
  <c r="I134" i="18"/>
  <c r="J134" i="18" s="1"/>
  <c r="L134" i="18" s="1"/>
  <c r="I120" i="18"/>
  <c r="J120" i="18" s="1"/>
  <c r="L120" i="18" s="1"/>
  <c r="I147" i="18"/>
  <c r="J147" i="18" s="1"/>
  <c r="L147" i="18" s="1"/>
  <c r="I187" i="18"/>
  <c r="J187" i="18" s="1"/>
  <c r="L187" i="18" s="1"/>
  <c r="I121" i="18"/>
  <c r="J121" i="18" s="1"/>
  <c r="L121" i="18" s="1"/>
  <c r="I202" i="18"/>
  <c r="J202" i="18" s="1"/>
  <c r="L202" i="18" s="1"/>
  <c r="I181" i="18"/>
  <c r="J181" i="18" s="1"/>
  <c r="L181" i="18" s="1"/>
  <c r="I169" i="18"/>
  <c r="J169" i="18" s="1"/>
  <c r="L169" i="18" s="1"/>
  <c r="I64" i="18"/>
  <c r="J64" i="18" s="1"/>
  <c r="L64" i="18" s="1"/>
  <c r="I114" i="18"/>
  <c r="J114" i="18" s="1"/>
  <c r="L114" i="18" s="1"/>
  <c r="I143" i="18"/>
  <c r="J143" i="18" s="1"/>
  <c r="L143" i="18" s="1"/>
  <c r="I146" i="18"/>
  <c r="J146" i="18" s="1"/>
  <c r="L146" i="18" s="1"/>
  <c r="I152" i="18"/>
  <c r="J152" i="18" s="1"/>
  <c r="L152" i="18" s="1"/>
  <c r="I92" i="18"/>
  <c r="J92" i="18" s="1"/>
  <c r="L92" i="18" s="1"/>
  <c r="I46" i="18"/>
  <c r="J46" i="18" s="1"/>
  <c r="L46" i="18" s="1"/>
  <c r="I140" i="18"/>
  <c r="J140" i="18" s="1"/>
  <c r="L140" i="18" s="1"/>
  <c r="I178" i="18"/>
  <c r="J178" i="18" s="1"/>
  <c r="L178" i="18" s="1"/>
  <c r="I117" i="18"/>
  <c r="J117" i="18" s="1"/>
  <c r="L117" i="18" s="1"/>
  <c r="I133" i="18"/>
  <c r="J133" i="18" s="1"/>
  <c r="L133" i="18" s="1"/>
  <c r="I108" i="18"/>
  <c r="J108" i="18" s="1"/>
  <c r="L108" i="18" s="1"/>
  <c r="I96" i="18"/>
  <c r="J96" i="18" s="1"/>
  <c r="L96" i="18" s="1"/>
  <c r="I199" i="18"/>
  <c r="J199" i="18" s="1"/>
  <c r="L199" i="18" s="1"/>
  <c r="I86" i="18"/>
  <c r="J86" i="18" s="1"/>
  <c r="L86" i="18" s="1"/>
  <c r="I210" i="18"/>
  <c r="J210" i="18" s="1"/>
  <c r="L210" i="18" s="1"/>
  <c r="I69" i="18"/>
  <c r="J69" i="18" s="1"/>
  <c r="L69" i="18" s="1"/>
  <c r="I163" i="18"/>
  <c r="J163" i="18" s="1"/>
  <c r="L163" i="18" s="1"/>
  <c r="I159" i="18"/>
  <c r="J159" i="18" s="1"/>
  <c r="L159" i="18" s="1"/>
  <c r="I136" i="18"/>
  <c r="J136" i="18" s="1"/>
  <c r="L136" i="18" s="1"/>
  <c r="I164" i="18"/>
  <c r="J164" i="18" s="1"/>
  <c r="L164" i="18" s="1"/>
  <c r="I118" i="18"/>
  <c r="J118" i="18" s="1"/>
  <c r="L118" i="18" s="1"/>
  <c r="I93" i="18"/>
  <c r="J93" i="18" s="1"/>
  <c r="L93" i="18" s="1"/>
  <c r="I39" i="18"/>
  <c r="J39" i="18" s="1"/>
  <c r="L39" i="18" s="1"/>
  <c r="I200" i="18"/>
  <c r="J200" i="18" s="1"/>
  <c r="L200" i="18" s="1"/>
  <c r="I40" i="18"/>
  <c r="J40" i="18" s="1"/>
  <c r="L40" i="18" s="1"/>
  <c r="I135" i="18"/>
  <c r="J135" i="18" s="1"/>
  <c r="L135" i="18" s="1"/>
  <c r="I188" i="18"/>
  <c r="J188" i="18" s="1"/>
  <c r="L188" i="18" s="1"/>
  <c r="I172" i="18"/>
  <c r="J172" i="18" s="1"/>
  <c r="L172" i="18" s="1"/>
  <c r="I138" i="18"/>
  <c r="J138" i="18" s="1"/>
  <c r="L138" i="18" s="1"/>
  <c r="I89" i="18"/>
  <c r="J89" i="18" s="1"/>
  <c r="L89" i="18" s="1"/>
  <c r="I167" i="18"/>
  <c r="J167" i="18" s="1"/>
  <c r="L167" i="18" s="1"/>
  <c r="I32" i="18"/>
  <c r="J32" i="18" s="1"/>
  <c r="L32" i="18" s="1"/>
  <c r="I59" i="18"/>
  <c r="J59" i="18" s="1"/>
  <c r="L59" i="18" s="1"/>
  <c r="I211" i="18"/>
  <c r="J211" i="18" s="1"/>
  <c r="L211" i="18" s="1"/>
  <c r="I127" i="18"/>
  <c r="J127" i="18" s="1"/>
  <c r="L127" i="18" s="1"/>
  <c r="I83" i="18"/>
  <c r="J83" i="18" s="1"/>
  <c r="L83" i="18" s="1"/>
  <c r="I206" i="18"/>
  <c r="J206" i="18" s="1"/>
  <c r="L206" i="18" s="1"/>
  <c r="I24" i="18"/>
  <c r="J24" i="18" s="1"/>
  <c r="L24" i="18" s="1"/>
  <c r="I129" i="18"/>
  <c r="J129" i="18" s="1"/>
  <c r="L129" i="18" s="1"/>
  <c r="I97" i="18"/>
  <c r="J97" i="18" s="1"/>
  <c r="L97" i="18" s="1"/>
  <c r="I193" i="18"/>
  <c r="J193" i="18" s="1"/>
  <c r="L193" i="18" s="1"/>
  <c r="I28" i="18"/>
  <c r="J28" i="18" s="1"/>
  <c r="L28" i="18" s="1"/>
  <c r="I50" i="18"/>
  <c r="J50" i="18" s="1"/>
  <c r="L50" i="18" s="1"/>
  <c r="I194" i="18"/>
  <c r="J194" i="18" s="1"/>
  <c r="L194" i="18" s="1"/>
  <c r="I168" i="18"/>
  <c r="J168" i="18" s="1"/>
  <c r="L168" i="18" s="1"/>
  <c r="I107" i="18"/>
  <c r="J107" i="18" s="1"/>
  <c r="L107" i="18" s="1"/>
  <c r="I74" i="18"/>
  <c r="J74" i="18" s="1"/>
  <c r="L74" i="18" s="1"/>
  <c r="I156" i="18"/>
  <c r="J156" i="18" s="1"/>
  <c r="L156" i="18" s="1"/>
  <c r="I23" i="18"/>
  <c r="J23" i="18" s="1"/>
  <c r="L23" i="18" s="1"/>
  <c r="I76" i="18"/>
  <c r="J76" i="18" s="1"/>
  <c r="L76" i="18" s="1"/>
  <c r="I91" i="18"/>
  <c r="J91" i="18" s="1"/>
  <c r="L91" i="18" s="1"/>
  <c r="I84" i="18"/>
  <c r="J84" i="18" s="1"/>
  <c r="L84" i="18" s="1"/>
  <c r="I36" i="18"/>
  <c r="J36" i="18" s="1"/>
  <c r="L36" i="18" s="1"/>
  <c r="I132" i="18"/>
  <c r="J132" i="18" s="1"/>
  <c r="L132" i="18" s="1"/>
  <c r="I88" i="18"/>
  <c r="J88" i="18" s="1"/>
  <c r="L88" i="18" s="1"/>
  <c r="I34" i="18"/>
  <c r="J34" i="18" s="1"/>
  <c r="L34" i="18" s="1"/>
  <c r="I157" i="18"/>
  <c r="J157" i="18" s="1"/>
  <c r="L157" i="18" s="1"/>
  <c r="I171" i="18"/>
  <c r="J171" i="18" s="1"/>
  <c r="L171" i="18" s="1"/>
  <c r="I100" i="18"/>
  <c r="J100" i="18" s="1"/>
  <c r="L100" i="18" s="1"/>
  <c r="I142" i="18"/>
  <c r="J142" i="18" s="1"/>
  <c r="L142" i="18" s="1"/>
  <c r="I196" i="18"/>
  <c r="J196" i="18" s="1"/>
  <c r="L196" i="18" s="1"/>
  <c r="I189" i="18"/>
  <c r="J189" i="18" s="1"/>
  <c r="L189" i="18" s="1"/>
  <c r="I75" i="18"/>
  <c r="J75" i="18" s="1"/>
  <c r="L75" i="18" s="1"/>
  <c r="I85" i="18"/>
  <c r="J85" i="18" s="1"/>
  <c r="L85" i="18" s="1"/>
  <c r="I57" i="18"/>
  <c r="J57" i="18" s="1"/>
  <c r="L57" i="18" s="1"/>
  <c r="I209" i="18"/>
  <c r="J209" i="18" s="1"/>
  <c r="L209" i="18" s="1"/>
  <c r="I130" i="18"/>
  <c r="J130" i="18" s="1"/>
  <c r="L130" i="18" s="1"/>
  <c r="I94" i="18"/>
  <c r="J94" i="18" s="1"/>
  <c r="L94" i="18" s="1"/>
  <c r="I71" i="18"/>
  <c r="J71" i="18" s="1"/>
  <c r="L71" i="18" s="1"/>
  <c r="I177" i="18"/>
  <c r="J177" i="18" s="1"/>
  <c r="L177" i="18" s="1"/>
  <c r="I63" i="18"/>
  <c r="J63" i="18" s="1"/>
  <c r="L63" i="18" s="1"/>
  <c r="I90" i="18"/>
  <c r="J90" i="18" s="1"/>
  <c r="L90" i="18" s="1"/>
  <c r="I153" i="18"/>
  <c r="J153" i="18" s="1"/>
  <c r="L153" i="18" s="1"/>
  <c r="I58" i="18"/>
  <c r="J58" i="18" s="1"/>
  <c r="L58" i="18" s="1"/>
  <c r="I55" i="18"/>
  <c r="J55" i="18" s="1"/>
  <c r="L55" i="18" s="1"/>
  <c r="I151" i="18"/>
  <c r="J151" i="18" s="1"/>
  <c r="L151" i="18" s="1"/>
  <c r="I208" i="18"/>
  <c r="J208" i="18" s="1"/>
  <c r="L208" i="18" s="1"/>
  <c r="I87" i="18"/>
  <c r="J87" i="18" s="1"/>
  <c r="L87" i="18" s="1"/>
  <c r="I56" i="18"/>
  <c r="J56" i="18" s="1"/>
  <c r="I68" i="18"/>
  <c r="J68" i="18" s="1"/>
  <c r="L68" i="18" s="1"/>
  <c r="I131" i="18"/>
  <c r="J131" i="18" s="1"/>
  <c r="L131" i="18" s="1"/>
  <c r="I160" i="18"/>
  <c r="J160" i="18" s="1"/>
  <c r="L160" i="18" s="1"/>
  <c r="I65" i="18"/>
  <c r="J65" i="18" s="1"/>
  <c r="L65" i="18" s="1"/>
  <c r="I102" i="18"/>
  <c r="J102" i="18" s="1"/>
  <c r="L102" i="18" s="1"/>
  <c r="I122" i="18"/>
  <c r="J122" i="18" s="1"/>
  <c r="L122" i="18" s="1"/>
  <c r="I128" i="18"/>
  <c r="J128" i="18" s="1"/>
  <c r="L128" i="18" s="1"/>
  <c r="I176" i="18"/>
  <c r="J176" i="18" s="1"/>
  <c r="L176" i="18" s="1"/>
  <c r="I166" i="18"/>
  <c r="J166" i="18" s="1"/>
  <c r="L166" i="18" s="1"/>
  <c r="I190" i="18"/>
  <c r="J190" i="18" s="1"/>
  <c r="L190" i="18" s="1"/>
  <c r="I103" i="18"/>
  <c r="J103" i="18" s="1"/>
  <c r="L103" i="18" s="1"/>
  <c r="I31" i="18"/>
  <c r="J31" i="18" s="1"/>
  <c r="L31" i="18" s="1"/>
  <c r="I62" i="18"/>
  <c r="J62" i="18" s="1"/>
  <c r="L62" i="18" s="1"/>
  <c r="I145" i="18"/>
  <c r="J145" i="18" s="1"/>
  <c r="L145" i="18" s="1"/>
  <c r="I22" i="18"/>
  <c r="J22" i="18" s="1"/>
  <c r="L22" i="18" s="1"/>
  <c r="I109" i="18"/>
  <c r="J109" i="18" s="1"/>
  <c r="L109" i="18" s="1"/>
  <c r="I119" i="18"/>
  <c r="J119" i="18" s="1"/>
  <c r="L119" i="18" s="1"/>
  <c r="I43" i="18"/>
  <c r="J43" i="18" s="1"/>
  <c r="L43" i="18" s="1"/>
  <c r="I158" i="18"/>
  <c r="J158" i="18" s="1"/>
  <c r="L158" i="18" s="1"/>
  <c r="I197" i="18"/>
  <c r="J197" i="18" s="1"/>
  <c r="L197" i="18" s="1"/>
  <c r="I73" i="18"/>
  <c r="J73" i="18" s="1"/>
  <c r="L73" i="18" s="1"/>
  <c r="I185" i="18"/>
  <c r="J185" i="18" s="1"/>
  <c r="L185" i="18" s="1"/>
  <c r="F14" i="29"/>
  <c r="I186" i="18"/>
  <c r="J186" i="18" s="1"/>
  <c r="L186" i="18" s="1"/>
  <c r="I180" i="18"/>
  <c r="J180" i="18" s="1"/>
  <c r="L180" i="18" s="1"/>
  <c r="I51" i="18"/>
  <c r="J51" i="18" s="1"/>
  <c r="L51" i="18" s="1"/>
  <c r="I205" i="18"/>
  <c r="J205" i="18" s="1"/>
  <c r="L205" i="18" s="1"/>
  <c r="I29" i="18"/>
  <c r="J29" i="18" s="1"/>
  <c r="L29" i="18" s="1"/>
  <c r="I66" i="18"/>
  <c r="J66" i="18" s="1"/>
  <c r="L66" i="18" s="1"/>
  <c r="I48" i="18"/>
  <c r="J48" i="18" s="1"/>
  <c r="L48" i="18" s="1"/>
  <c r="I79" i="18"/>
  <c r="J79" i="18" s="1"/>
  <c r="L79" i="18" s="1"/>
  <c r="I179" i="18"/>
  <c r="J179" i="18" s="1"/>
  <c r="L179" i="18" s="1"/>
  <c r="I125" i="18"/>
  <c r="J125" i="18" s="1"/>
  <c r="L125" i="18" s="1"/>
  <c r="I35" i="18"/>
  <c r="J35" i="18" s="1"/>
  <c r="L35" i="18" s="1"/>
  <c r="I161" i="18"/>
  <c r="J161" i="18" s="1"/>
  <c r="L161" i="18" s="1"/>
  <c r="I67" i="18"/>
  <c r="J67" i="18" s="1"/>
  <c r="L67" i="18" s="1"/>
  <c r="I148" i="18"/>
  <c r="J148" i="18" s="1"/>
  <c r="L148" i="18" s="1"/>
  <c r="I72" i="18"/>
  <c r="J72" i="18" s="1"/>
  <c r="L72" i="18" s="1"/>
  <c r="I21" i="18"/>
  <c r="J21" i="18" s="1"/>
  <c r="L21" i="18" s="1"/>
  <c r="I27" i="18"/>
  <c r="J27" i="18" s="1"/>
  <c r="L27" i="18" s="1"/>
  <c r="I95" i="18"/>
  <c r="J95" i="18" s="1"/>
  <c r="L95" i="18" s="1"/>
  <c r="I149" i="18"/>
  <c r="J149" i="18" s="1"/>
  <c r="L149" i="18" s="1"/>
  <c r="I70" i="18"/>
  <c r="J70" i="18" s="1"/>
  <c r="L70" i="18" s="1"/>
  <c r="I38" i="18"/>
  <c r="J38" i="18" s="1"/>
  <c r="L38" i="18" s="1"/>
  <c r="I47" i="18"/>
  <c r="J47" i="18" s="1"/>
  <c r="L47" i="18" s="1"/>
  <c r="I137" i="18"/>
  <c r="J137" i="18" s="1"/>
  <c r="L137" i="18" s="1"/>
  <c r="I60" i="18"/>
  <c r="J60" i="18" s="1"/>
  <c r="L60" i="18" s="1"/>
  <c r="I98" i="18"/>
  <c r="J98" i="18" s="1"/>
  <c r="L98" i="18" s="1"/>
  <c r="I104" i="18"/>
  <c r="J104" i="18" s="1"/>
  <c r="L104" i="18" s="1"/>
  <c r="I54" i="18"/>
  <c r="J54" i="18" s="1"/>
  <c r="L54" i="18" s="1"/>
  <c r="I195" i="18"/>
  <c r="J195" i="18" s="1"/>
  <c r="L195" i="18" s="1"/>
  <c r="I113" i="18"/>
  <c r="J113" i="18" s="1"/>
  <c r="L113" i="18" s="1"/>
  <c r="I33" i="18"/>
  <c r="J33" i="18" s="1"/>
  <c r="L33" i="18" s="1"/>
  <c r="I162" i="18"/>
  <c r="J162" i="18" s="1"/>
  <c r="L162" i="18" s="1"/>
  <c r="L20" i="18" l="1"/>
  <c r="J14" i="18"/>
  <c r="J212" i="18"/>
  <c r="L56" i="18"/>
  <c r="L13" i="18" s="1"/>
  <c r="J13" i="18"/>
  <c r="L14" i="18" l="1"/>
  <c r="L212" i="18"/>
  <c r="M130" i="18" l="1"/>
  <c r="N130" i="18" s="1"/>
  <c r="R130" i="18" s="1"/>
  <c r="M39" i="18"/>
  <c r="N39" i="18" s="1"/>
  <c r="R39" i="18" s="1"/>
  <c r="M144" i="18"/>
  <c r="N144" i="18" s="1"/>
  <c r="R144" i="18" s="1"/>
  <c r="M145" i="18"/>
  <c r="N145" i="18" s="1"/>
  <c r="R145" i="18" s="1"/>
  <c r="M196" i="18"/>
  <c r="N196" i="18" s="1"/>
  <c r="R196" i="18" s="1"/>
  <c r="M204" i="18"/>
  <c r="N204" i="18" s="1"/>
  <c r="R204" i="18" s="1"/>
  <c r="M76" i="18"/>
  <c r="N76" i="18" s="1"/>
  <c r="R76" i="18" s="1"/>
  <c r="M195" i="18"/>
  <c r="N195" i="18" s="1"/>
  <c r="R195" i="18" s="1"/>
  <c r="M108" i="18"/>
  <c r="N108" i="18" s="1"/>
  <c r="R108" i="18" s="1"/>
  <c r="M199" i="18"/>
  <c r="N199" i="18" s="1"/>
  <c r="R199" i="18" s="1"/>
  <c r="M189" i="18"/>
  <c r="N189" i="18" s="1"/>
  <c r="R189" i="18" s="1"/>
  <c r="M207" i="18"/>
  <c r="N207" i="18" s="1"/>
  <c r="R207" i="18" s="1"/>
  <c r="M103" i="18"/>
  <c r="N103" i="18" s="1"/>
  <c r="R103" i="18" s="1"/>
  <c r="M30" i="18"/>
  <c r="N30" i="18" s="1"/>
  <c r="R30" i="18" s="1"/>
  <c r="M41" i="18"/>
  <c r="N41" i="18" s="1"/>
  <c r="R41" i="18" s="1"/>
  <c r="M38" i="18"/>
  <c r="N38" i="18" s="1"/>
  <c r="R38" i="18" s="1"/>
  <c r="M206" i="18"/>
  <c r="N206" i="18" s="1"/>
  <c r="R206" i="18" s="1"/>
  <c r="M139" i="18"/>
  <c r="N139" i="18" s="1"/>
  <c r="R139" i="18" s="1"/>
  <c r="M97" i="18"/>
  <c r="N97" i="18" s="1"/>
  <c r="R97" i="18" s="1"/>
  <c r="M143" i="18"/>
  <c r="N143" i="18" s="1"/>
  <c r="R143" i="18" s="1"/>
  <c r="M100" i="18"/>
  <c r="N100" i="18" s="1"/>
  <c r="R100" i="18" s="1"/>
  <c r="M183" i="18"/>
  <c r="N183" i="18" s="1"/>
  <c r="R183" i="18" s="1"/>
  <c r="M47" i="18"/>
  <c r="N47" i="18" s="1"/>
  <c r="R47" i="18" s="1"/>
  <c r="M27" i="18"/>
  <c r="N27" i="18" s="1"/>
  <c r="R27" i="18" s="1"/>
  <c r="M156" i="18"/>
  <c r="N156" i="18" s="1"/>
  <c r="R156" i="18" s="1"/>
  <c r="M194" i="18"/>
  <c r="N194" i="18" s="1"/>
  <c r="R194" i="18" s="1"/>
  <c r="M60" i="18"/>
  <c r="N60" i="18" s="1"/>
  <c r="R60" i="18" s="1"/>
  <c r="M209" i="18"/>
  <c r="N209" i="18" s="1"/>
  <c r="R209" i="18" s="1"/>
  <c r="M155" i="18"/>
  <c r="N155" i="18" s="1"/>
  <c r="R155" i="18" s="1"/>
  <c r="M23" i="18"/>
  <c r="N23" i="18" s="1"/>
  <c r="R23" i="18" s="1"/>
  <c r="M190" i="18"/>
  <c r="N190" i="18" s="1"/>
  <c r="R190" i="18" s="1"/>
  <c r="M141" i="18"/>
  <c r="N141" i="18" s="1"/>
  <c r="R141" i="18" s="1"/>
  <c r="M191" i="18"/>
  <c r="N191" i="18" s="1"/>
  <c r="R191" i="18" s="1"/>
  <c r="M98" i="18"/>
  <c r="N98" i="18" s="1"/>
  <c r="R98" i="18" s="1"/>
  <c r="M211" i="18"/>
  <c r="N211" i="18" s="1"/>
  <c r="R211" i="18" s="1"/>
  <c r="M165" i="18"/>
  <c r="N165" i="18" s="1"/>
  <c r="R165" i="18" s="1"/>
  <c r="M40" i="18"/>
  <c r="N40" i="18" s="1"/>
  <c r="R40" i="18" s="1"/>
  <c r="M193" i="18"/>
  <c r="N193" i="18" s="1"/>
  <c r="R193" i="18" s="1"/>
  <c r="M92" i="18"/>
  <c r="N92" i="18" s="1"/>
  <c r="R92" i="18" s="1"/>
  <c r="M198" i="18"/>
  <c r="N198" i="18" s="1"/>
  <c r="R198" i="18" s="1"/>
  <c r="M73" i="18"/>
  <c r="N73" i="18" s="1"/>
  <c r="R73" i="18" s="1"/>
  <c r="M122" i="18"/>
  <c r="N122" i="18" s="1"/>
  <c r="R122" i="18" s="1"/>
  <c r="M128" i="18"/>
  <c r="N128" i="18" s="1"/>
  <c r="R128" i="18" s="1"/>
  <c r="M32" i="18"/>
  <c r="N32" i="18" s="1"/>
  <c r="R32" i="18" s="1"/>
  <c r="M61" i="18"/>
  <c r="N61" i="18" s="1"/>
  <c r="R61" i="18" s="1"/>
  <c r="M28" i="18"/>
  <c r="N28" i="18" s="1"/>
  <c r="R28" i="18" s="1"/>
  <c r="M149" i="18"/>
  <c r="N149" i="18" s="1"/>
  <c r="R149" i="18" s="1"/>
  <c r="M21" i="18"/>
  <c r="N21" i="18" s="1"/>
  <c r="R21" i="18" s="1"/>
  <c r="M78" i="18"/>
  <c r="N78" i="18" s="1"/>
  <c r="R78" i="18" s="1"/>
  <c r="M115" i="18"/>
  <c r="N115" i="18" s="1"/>
  <c r="R115" i="18" s="1"/>
  <c r="M77" i="18"/>
  <c r="N77" i="18" s="1"/>
  <c r="R77" i="18" s="1"/>
  <c r="M148" i="18"/>
  <c r="N148" i="18" s="1"/>
  <c r="R148" i="18" s="1"/>
  <c r="M45" i="18"/>
  <c r="N45" i="18" s="1"/>
  <c r="R45" i="18" s="1"/>
  <c r="M70" i="18"/>
  <c r="N70" i="18" s="1"/>
  <c r="R70" i="18" s="1"/>
  <c r="M65" i="18"/>
  <c r="N65" i="18" s="1"/>
  <c r="R65" i="18" s="1"/>
  <c r="M180" i="18"/>
  <c r="N180" i="18" s="1"/>
  <c r="R180" i="18" s="1"/>
  <c r="M71" i="18"/>
  <c r="N71" i="18" s="1"/>
  <c r="R71" i="18" s="1"/>
  <c r="M131" i="18"/>
  <c r="N131" i="18" s="1"/>
  <c r="R131" i="18" s="1"/>
  <c r="M174" i="18"/>
  <c r="N174" i="18" s="1"/>
  <c r="R174" i="18" s="1"/>
  <c r="M127" i="18"/>
  <c r="N127" i="18" s="1"/>
  <c r="R127" i="18" s="1"/>
  <c r="M58" i="18"/>
  <c r="N58" i="18" s="1"/>
  <c r="R58" i="18" s="1"/>
  <c r="M181" i="18"/>
  <c r="N181" i="18" s="1"/>
  <c r="R181" i="18" s="1"/>
  <c r="M121" i="18"/>
  <c r="N121" i="18" s="1"/>
  <c r="R121" i="18" s="1"/>
  <c r="M75" i="18"/>
  <c r="N75" i="18" s="1"/>
  <c r="R75" i="18" s="1"/>
  <c r="M176" i="18"/>
  <c r="N176" i="18" s="1"/>
  <c r="R176" i="18" s="1"/>
  <c r="M119" i="18"/>
  <c r="N119" i="18" s="1"/>
  <c r="R119" i="18" s="1"/>
  <c r="M51" i="18"/>
  <c r="N51" i="18" s="1"/>
  <c r="R51" i="18" s="1"/>
  <c r="M138" i="18"/>
  <c r="N138" i="18" s="1"/>
  <c r="R138" i="18" s="1"/>
  <c r="M102" i="18"/>
  <c r="N102" i="18" s="1"/>
  <c r="R102" i="18" s="1"/>
  <c r="M142" i="18"/>
  <c r="N142" i="18" s="1"/>
  <c r="R142" i="18" s="1"/>
  <c r="M179" i="18"/>
  <c r="N179" i="18" s="1"/>
  <c r="R179" i="18" s="1"/>
  <c r="M83" i="18"/>
  <c r="N83" i="18" s="1"/>
  <c r="R83" i="18" s="1"/>
  <c r="M93" i="18"/>
  <c r="N93" i="18" s="1"/>
  <c r="R93" i="18" s="1"/>
  <c r="M175" i="18"/>
  <c r="N175" i="18" s="1"/>
  <c r="R175" i="18" s="1"/>
  <c r="M163" i="18"/>
  <c r="N163" i="18" s="1"/>
  <c r="R163" i="18" s="1"/>
  <c r="M188" i="18"/>
  <c r="N188" i="18" s="1"/>
  <c r="R188" i="18" s="1"/>
  <c r="M54" i="18"/>
  <c r="N54" i="18" s="1"/>
  <c r="R54" i="18" s="1"/>
  <c r="M133" i="18"/>
  <c r="N133" i="18" s="1"/>
  <c r="R133" i="18" s="1"/>
  <c r="M24" i="18"/>
  <c r="N24" i="18" s="1"/>
  <c r="R24" i="18" s="1"/>
  <c r="M114" i="18"/>
  <c r="N114" i="18" s="1"/>
  <c r="R114" i="18" s="1"/>
  <c r="M113" i="18"/>
  <c r="N113" i="18" s="1"/>
  <c r="R113" i="18" s="1"/>
  <c r="M136" i="18"/>
  <c r="N136" i="18" s="1"/>
  <c r="R136" i="18" s="1"/>
  <c r="M164" i="18"/>
  <c r="N164" i="18" s="1"/>
  <c r="R164" i="18" s="1"/>
  <c r="M173" i="18"/>
  <c r="N173" i="18" s="1"/>
  <c r="R173" i="18" s="1"/>
  <c r="M37" i="18"/>
  <c r="N37" i="18" s="1"/>
  <c r="R37" i="18" s="1"/>
  <c r="M185" i="18"/>
  <c r="N185" i="18" s="1"/>
  <c r="R185" i="18" s="1"/>
  <c r="M94" i="18"/>
  <c r="N94" i="18" s="1"/>
  <c r="R94" i="18" s="1"/>
  <c r="M192" i="18"/>
  <c r="N192" i="18" s="1"/>
  <c r="R192" i="18" s="1"/>
  <c r="M170" i="18"/>
  <c r="N170" i="18" s="1"/>
  <c r="R170" i="18" s="1"/>
  <c r="M43" i="18"/>
  <c r="N43" i="18" s="1"/>
  <c r="R43" i="18" s="1"/>
  <c r="M150" i="18"/>
  <c r="N150" i="18" s="1"/>
  <c r="R150" i="18" s="1"/>
  <c r="M49" i="18"/>
  <c r="N49" i="18" s="1"/>
  <c r="R49" i="18" s="1"/>
  <c r="M42" i="18"/>
  <c r="N42" i="18" s="1"/>
  <c r="R42" i="18" s="1"/>
  <c r="M89" i="18"/>
  <c r="N89" i="18" s="1"/>
  <c r="R89" i="18" s="1"/>
  <c r="M200" i="18"/>
  <c r="N200" i="18" s="1"/>
  <c r="R200" i="18" s="1"/>
  <c r="M208" i="18"/>
  <c r="N208" i="18" s="1"/>
  <c r="R208" i="18" s="1"/>
  <c r="M120" i="18"/>
  <c r="N120" i="18" s="1"/>
  <c r="R120" i="18" s="1"/>
  <c r="M158" i="18"/>
  <c r="N158" i="18" s="1"/>
  <c r="R158" i="18" s="1"/>
  <c r="M124" i="18"/>
  <c r="N124" i="18" s="1"/>
  <c r="R124" i="18" s="1"/>
  <c r="M112" i="18"/>
  <c r="N112" i="18" s="1"/>
  <c r="R112" i="18" s="1"/>
  <c r="M201" i="18"/>
  <c r="N201" i="18" s="1"/>
  <c r="R201" i="18" s="1"/>
  <c r="M132" i="18"/>
  <c r="N132" i="18" s="1"/>
  <c r="R132" i="18" s="1"/>
  <c r="M34" i="18"/>
  <c r="N34" i="18" s="1"/>
  <c r="R34" i="18" s="1"/>
  <c r="M96" i="18"/>
  <c r="N96" i="18" s="1"/>
  <c r="R96" i="18" s="1"/>
  <c r="M210" i="18"/>
  <c r="N210" i="18" s="1"/>
  <c r="R210" i="18" s="1"/>
  <c r="M20" i="18"/>
  <c r="M129" i="18"/>
  <c r="N129" i="18" s="1"/>
  <c r="R129" i="18" s="1"/>
  <c r="M109" i="18"/>
  <c r="N109" i="18" s="1"/>
  <c r="R109" i="18" s="1"/>
  <c r="M126" i="18"/>
  <c r="N126" i="18" s="1"/>
  <c r="R126" i="18" s="1"/>
  <c r="M87" i="18"/>
  <c r="N87" i="18" s="1"/>
  <c r="R87" i="18" s="1"/>
  <c r="M90" i="18"/>
  <c r="N90" i="18" s="1"/>
  <c r="R90" i="18" s="1"/>
  <c r="M55" i="18"/>
  <c r="N55" i="18" s="1"/>
  <c r="R55" i="18" s="1"/>
  <c r="M137" i="18"/>
  <c r="N137" i="18" s="1"/>
  <c r="R137" i="18" s="1"/>
  <c r="M151" i="18"/>
  <c r="N151" i="18" s="1"/>
  <c r="R151" i="18" s="1"/>
  <c r="M29" i="18"/>
  <c r="N29" i="18" s="1"/>
  <c r="R29" i="18" s="1"/>
  <c r="M203" i="18"/>
  <c r="N203" i="18" s="1"/>
  <c r="R203" i="18" s="1"/>
  <c r="M153" i="18"/>
  <c r="N153" i="18" s="1"/>
  <c r="R153" i="18" s="1"/>
  <c r="M36" i="18"/>
  <c r="N36" i="18" s="1"/>
  <c r="R36" i="18" s="1"/>
  <c r="M44" i="18"/>
  <c r="N44" i="18" s="1"/>
  <c r="R44" i="18" s="1"/>
  <c r="M160" i="18"/>
  <c r="N160" i="18" s="1"/>
  <c r="R160" i="18" s="1"/>
  <c r="M168" i="18"/>
  <c r="N168" i="18" s="1"/>
  <c r="R168" i="18" s="1"/>
  <c r="M82" i="18"/>
  <c r="N82" i="18" s="1"/>
  <c r="R82" i="18" s="1"/>
  <c r="M161" i="18"/>
  <c r="N161" i="18" s="1"/>
  <c r="R161" i="18" s="1"/>
  <c r="M25" i="18"/>
  <c r="N25" i="18" s="1"/>
  <c r="R25" i="18" s="1"/>
  <c r="M88" i="18"/>
  <c r="N88" i="18" s="1"/>
  <c r="R88" i="18" s="1"/>
  <c r="M107" i="18"/>
  <c r="N107" i="18" s="1"/>
  <c r="R107" i="18" s="1"/>
  <c r="M31" i="18"/>
  <c r="N31" i="18" s="1"/>
  <c r="R31" i="18" s="1"/>
  <c r="M35" i="18"/>
  <c r="N35" i="18" s="1"/>
  <c r="R35" i="18" s="1"/>
  <c r="M68" i="18"/>
  <c r="N68" i="18" s="1"/>
  <c r="R68" i="18" s="1"/>
  <c r="M146" i="18"/>
  <c r="N146" i="18" s="1"/>
  <c r="R146" i="18" s="1"/>
  <c r="M67" i="18"/>
  <c r="N67" i="18" s="1"/>
  <c r="R67" i="18" s="1"/>
  <c r="M162" i="18"/>
  <c r="N162" i="18" s="1"/>
  <c r="R162" i="18" s="1"/>
  <c r="M123" i="18"/>
  <c r="N123" i="18" s="1"/>
  <c r="R123" i="18" s="1"/>
  <c r="M72" i="18"/>
  <c r="N72" i="18" s="1"/>
  <c r="R72" i="18" s="1"/>
  <c r="M154" i="18"/>
  <c r="N154" i="18" s="1"/>
  <c r="R154" i="18" s="1"/>
  <c r="M69" i="18"/>
  <c r="N69" i="18" s="1"/>
  <c r="R69" i="18" s="1"/>
  <c r="M62" i="18"/>
  <c r="N62" i="18" s="1"/>
  <c r="R62" i="18" s="1"/>
  <c r="M111" i="18"/>
  <c r="N111" i="18" s="1"/>
  <c r="R111" i="18" s="1"/>
  <c r="M171" i="18"/>
  <c r="N171" i="18" s="1"/>
  <c r="R171" i="18" s="1"/>
  <c r="M80" i="18"/>
  <c r="N80" i="18" s="1"/>
  <c r="R80" i="18" s="1"/>
  <c r="M104" i="18"/>
  <c r="N104" i="18" s="1"/>
  <c r="R104" i="18" s="1"/>
  <c r="M152" i="18"/>
  <c r="N152" i="18" s="1"/>
  <c r="R152" i="18" s="1"/>
  <c r="M52" i="18"/>
  <c r="N52" i="18" s="1"/>
  <c r="R52" i="18" s="1"/>
  <c r="M79" i="18"/>
  <c r="N79" i="18" s="1"/>
  <c r="R79" i="18" s="1"/>
  <c r="M48" i="18"/>
  <c r="N48" i="18" s="1"/>
  <c r="R48" i="18" s="1"/>
  <c r="M50" i="18"/>
  <c r="N50" i="18" s="1"/>
  <c r="R50" i="18" s="1"/>
  <c r="M81" i="18"/>
  <c r="N81" i="18" s="1"/>
  <c r="R81" i="18" s="1"/>
  <c r="M91" i="18"/>
  <c r="N91" i="18" s="1"/>
  <c r="R91" i="18" s="1"/>
  <c r="M63" i="18"/>
  <c r="N63" i="18" s="1"/>
  <c r="R63" i="18" s="1"/>
  <c r="M205" i="18"/>
  <c r="N205" i="18" s="1"/>
  <c r="R205" i="18" s="1"/>
  <c r="M125" i="18"/>
  <c r="N125" i="18" s="1"/>
  <c r="R125" i="18" s="1"/>
  <c r="M99" i="18"/>
  <c r="N99" i="18" s="1"/>
  <c r="R99" i="18" s="1"/>
  <c r="M66" i="18"/>
  <c r="N66" i="18" s="1"/>
  <c r="R66" i="18" s="1"/>
  <c r="M33" i="18"/>
  <c r="N33" i="18" s="1"/>
  <c r="R33" i="18" s="1"/>
  <c r="M116" i="18"/>
  <c r="N116" i="18" s="1"/>
  <c r="R116" i="18" s="1"/>
  <c r="M22" i="18"/>
  <c r="N22" i="18" s="1"/>
  <c r="R22" i="18" s="1"/>
  <c r="M95" i="18"/>
  <c r="N95" i="18" s="1"/>
  <c r="R95" i="18" s="1"/>
  <c r="M110" i="18"/>
  <c r="N110" i="18" s="1"/>
  <c r="R110" i="18" s="1"/>
  <c r="M86" i="18"/>
  <c r="N86" i="18" s="1"/>
  <c r="R86" i="18" s="1"/>
  <c r="M53" i="18"/>
  <c r="N53" i="18" s="1"/>
  <c r="R53" i="18" s="1"/>
  <c r="M57" i="18"/>
  <c r="N57" i="18" s="1"/>
  <c r="R57" i="18" s="1"/>
  <c r="M166" i="18"/>
  <c r="N166" i="18" s="1"/>
  <c r="R166" i="18" s="1"/>
  <c r="M59" i="18"/>
  <c r="N59" i="18" s="1"/>
  <c r="R59" i="18" s="1"/>
  <c r="M26" i="18"/>
  <c r="N26" i="18" s="1"/>
  <c r="R26" i="18" s="1"/>
  <c r="M117" i="18"/>
  <c r="N117" i="18" s="1"/>
  <c r="R117" i="18" s="1"/>
  <c r="M172" i="18"/>
  <c r="N172" i="18" s="1"/>
  <c r="R172" i="18" s="1"/>
  <c r="M186" i="18"/>
  <c r="N186" i="18" s="1"/>
  <c r="R186" i="18" s="1"/>
  <c r="M84" i="18"/>
  <c r="N84" i="18" s="1"/>
  <c r="R84" i="18" s="1"/>
  <c r="M85" i="18"/>
  <c r="N85" i="18" s="1"/>
  <c r="R85" i="18" s="1"/>
  <c r="M169" i="18"/>
  <c r="N169" i="18" s="1"/>
  <c r="R169" i="18" s="1"/>
  <c r="M177" i="18"/>
  <c r="N177" i="18" s="1"/>
  <c r="R177" i="18" s="1"/>
  <c r="M147" i="18"/>
  <c r="N147" i="18" s="1"/>
  <c r="R147" i="18" s="1"/>
  <c r="M202" i="18"/>
  <c r="N202" i="18" s="1"/>
  <c r="R202" i="18" s="1"/>
  <c r="M106" i="18"/>
  <c r="N106" i="18" s="1"/>
  <c r="R106" i="18" s="1"/>
  <c r="M178" i="18"/>
  <c r="N178" i="18" s="1"/>
  <c r="R178" i="18" s="1"/>
  <c r="M197" i="18"/>
  <c r="N197" i="18" s="1"/>
  <c r="R197" i="18" s="1"/>
  <c r="M46" i="18"/>
  <c r="N46" i="18" s="1"/>
  <c r="R46" i="18" s="1"/>
  <c r="M187" i="18"/>
  <c r="N187" i="18" s="1"/>
  <c r="R187" i="18" s="1"/>
  <c r="M101" i="18"/>
  <c r="N101" i="18" s="1"/>
  <c r="R101" i="18" s="1"/>
  <c r="M159" i="18"/>
  <c r="N159" i="18" s="1"/>
  <c r="R159" i="18" s="1"/>
  <c r="M135" i="18"/>
  <c r="N135" i="18" s="1"/>
  <c r="R135" i="18" s="1"/>
  <c r="M134" i="18"/>
  <c r="N134" i="18" s="1"/>
  <c r="R134" i="18" s="1"/>
  <c r="M64" i="18"/>
  <c r="N64" i="18" s="1"/>
  <c r="R64" i="18" s="1"/>
  <c r="M105" i="18"/>
  <c r="N105" i="18" s="1"/>
  <c r="R105" i="18" s="1"/>
  <c r="M118" i="18"/>
  <c r="N118" i="18" s="1"/>
  <c r="R118" i="18" s="1"/>
  <c r="M74" i="18"/>
  <c r="N74" i="18" s="1"/>
  <c r="R74" i="18" s="1"/>
  <c r="M157" i="18"/>
  <c r="N157" i="18" s="1"/>
  <c r="R157" i="18" s="1"/>
  <c r="M140" i="18"/>
  <c r="N140" i="18" s="1"/>
  <c r="R140" i="18" s="1"/>
  <c r="M56" i="18"/>
  <c r="M184" i="18"/>
  <c r="N184" i="18" s="1"/>
  <c r="R184" i="18" s="1"/>
  <c r="M182" i="18"/>
  <c r="N182" i="18" s="1"/>
  <c r="R182" i="18" s="1"/>
  <c r="M167" i="18"/>
  <c r="N167" i="18" s="1"/>
  <c r="R167" i="18" s="1"/>
  <c r="N56" i="18" l="1"/>
  <c r="M13" i="18"/>
  <c r="N20" i="18"/>
  <c r="M212" i="18"/>
  <c r="N14" i="18" l="1"/>
  <c r="R20" i="18"/>
  <c r="R56" i="18"/>
  <c r="R13" i="18" s="1"/>
  <c r="N13" i="18"/>
  <c r="R14" i="18" l="1"/>
  <c r="R2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<sst xmlns="http://schemas.openxmlformats.org/spreadsheetml/2006/main" count="441" uniqueCount="104">
  <si>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</si>
  <si>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</si>
  <si>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</si>
  <si>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</si>
  <si>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</si>
  <si>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</si>
  <si>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</si>
  <si>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</si>
  <si>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</si>
  <si>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</si>
  <si>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</si>
  <si>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</si>
  <si>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</si>
  <si>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</si>
  <si>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</si>
  <si>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</si>
  <si>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</si>
  <si>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</si>
  <si>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</si>
  <si>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</si>
  <si>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</si>
  <si>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</si>
  <si>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</si>
  <si>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</si>
  <si>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</si>
  <si>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</si>
  <si>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</si>
  <si>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</si>
  <si>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</si>
  <si>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</si>
  <si>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</si>
  <si>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</si>
  <si>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</si>
  <si>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</si>
  <si>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</si>
  <si>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</si>
  <si>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</si>
  <si>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</si>
  <si>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</si>
  <si>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</si>
  <si>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</si>
  <si>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</si>
  <si>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</si>
  <si>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</si>
  <si>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</si>
  <si>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</si>
  <si>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</si>
  <si>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</si>
  <si>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</si>
  <si>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</si>
  <si>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</si>
  <si>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</si>
  <si>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</si>
  <si>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</si>
  <si>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</si>
  <si>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</si>
  <si>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</si>
  <si>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</si>
  <si>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</si>
  <si>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</si>
  <si>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</si>
  <si>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</si>
  <si>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</si>
  <si>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</si>
  <si>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</si>
  <si>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</si>
  <si>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</si>
  <si>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</si>
  <si>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</si>
  <si>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</si>
  <si>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</si>
  <si>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</si>
  <si>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</si>
  <si>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</si>
  <si>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</si>
  <si>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</si>
  <si>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</si>
  <si>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</si>
  <si>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</si>
  <si>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</si>
  <si>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</si>
  <si>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</si>
  <si>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</si>
  <si>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</si>
  <si>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</si>
  <si>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</si>
  <si>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</si>
  <si>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</si>
  <si>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</si>
  <si>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</si>
  <si>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</si>
  <si>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</si>
  <si>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</si>
  <si>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</si>
  <si>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</si>
  <si>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AEPTCo Formula Rate -- FERC Docket ER18-195</t>
  </si>
  <si>
    <r>
      <t>2023 True-Up
(</t>
    </r>
    <r>
      <rPr>
        <sz val="10"/>
        <rFont val="Arial"/>
        <family val="2"/>
      </rPr>
      <t>w/o Interest)</t>
    </r>
  </si>
  <si>
    <t>2023 Interest</t>
  </si>
  <si>
    <t>Total 2023
True-Up Surcharge / (Refund)</t>
  </si>
  <si>
    <t>Total</t>
  </si>
  <si>
    <t>2021 Formal Challenge Refund with Interest</t>
  </si>
  <si>
    <t>2021 Load Share</t>
  </si>
  <si>
    <t>2021 NOLC Refund Amount with Interest (NITS)</t>
  </si>
  <si>
    <t>2023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</si>
</sst>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  <numFmt numFmtId="169" formatCode="&quot;$&quot;#,##0.0000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6" xfId="2" applyNumberFormat="1" applyFont="1" applyBorder="1" applyProtection="1"/>
    <xf numFmtId="165" fontId="0" fillId="0" borderId="17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19" xfId="0" applyBorder="1" applyProtection="1"/>
    <xf numFmtId="0" fontId="9" fillId="3" borderId="20" xfId="0" quotePrefix="1" applyFont="1" applyFill="1" applyBorder="1" applyAlignment="1" applyProtection="1">
      <alignment horizontal="left" vertical="center" wrapText="1"/>
    </xf>
    <xf numFmtId="165" fontId="0" fillId="3" borderId="21" xfId="2" applyNumberFormat="1" applyFont="1" applyFill="1" applyBorder="1" applyAlignment="1" applyProtection="1">
      <alignment vertical="center"/>
    </xf>
    <xf numFmtId="165" fontId="0" fillId="3" borderId="22" xfId="2" applyNumberFormat="1" applyFont="1" applyFill="1" applyBorder="1" applyAlignment="1" applyProtection="1">
      <alignment vertical="center"/>
    </xf>
    <xf numFmtId="165" fontId="3" fillId="3" borderId="23" xfId="2" applyNumberFormat="1" applyFont="1" applyFill="1" applyBorder="1" applyAlignment="1" applyProtection="1">
      <alignment vertical="center"/>
    </xf>
    <xf numFmtId="0" fontId="0" fillId="0" borderId="25" xfId="0" quotePrefix="1" applyBorder="1" applyAlignment="1" applyProtection="1">
      <alignment horizontal="left"/>
    </xf>
    <xf numFmtId="0" fontId="0" fillId="0" borderId="18" xfId="0" applyBorder="1" applyProtection="1"/>
    <xf numFmtId="0" fontId="0" fillId="0" borderId="26" xfId="0" applyBorder="1" applyProtection="1"/>
    <xf numFmtId="0" fontId="9" fillId="0" borderId="20" xfId="0" quotePrefix="1" applyFont="1" applyFill="1" applyBorder="1" applyAlignment="1" applyProtection="1">
      <alignment horizontal="left" vertical="center" wrapText="1"/>
    </xf>
    <xf numFmtId="165" fontId="0" fillId="0" borderId="21" xfId="2" applyNumberFormat="1" applyFont="1" applyFill="1" applyBorder="1" applyAlignment="1" applyProtection="1">
      <alignment vertical="center"/>
    </xf>
    <xf numFmtId="165" fontId="0" fillId="0" borderId="22" xfId="2" applyNumberFormat="1" applyFont="1" applyFill="1" applyBorder="1" applyAlignment="1" applyProtection="1">
      <alignment vertical="center"/>
    </xf>
    <xf numFmtId="165" fontId="3" fillId="0" borderId="23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7" xfId="2" applyNumberFormat="1" applyFont="1" applyBorder="1" applyAlignment="1" applyProtection="1">
      <alignment vertical="center"/>
    </xf>
    <xf numFmtId="165" fontId="0" fillId="0" borderId="28" xfId="2" applyNumberFormat="1" applyFont="1" applyBorder="1" applyAlignment="1" applyProtection="1">
      <alignment vertical="center"/>
    </xf>
    <xf numFmtId="165" fontId="0" fillId="0" borderId="29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4" xfId="0" applyBorder="1" applyProtection="1"/>
    <xf numFmtId="0" fontId="0" fillId="0" borderId="35" xfId="0" applyBorder="1" applyProtection="1"/>
    <xf numFmtId="0" fontId="0" fillId="0" borderId="34" xfId="0" pivotButton="1" applyBorder="1" applyProtection="1"/>
    <xf numFmtId="0" fontId="0" fillId="0" borderId="36" xfId="0" applyBorder="1" applyProtection="1"/>
    <xf numFmtId="17" fontId="0" fillId="0" borderId="34" xfId="0" applyNumberFormat="1" applyBorder="1" applyProtection="1"/>
    <xf numFmtId="17" fontId="0" fillId="0" borderId="37" xfId="0" applyNumberFormat="1" applyBorder="1" applyProtection="1"/>
    <xf numFmtId="17" fontId="0" fillId="0" borderId="38" xfId="0" applyNumberFormat="1" applyBorder="1" applyProtection="1"/>
    <xf numFmtId="166" fontId="0" fillId="0" borderId="34" xfId="0" applyNumberFormat="1" applyBorder="1" applyProtection="1"/>
    <xf numFmtId="166" fontId="0" fillId="0" borderId="37" xfId="0" applyNumberFormat="1" applyBorder="1" applyProtection="1"/>
    <xf numFmtId="166" fontId="0" fillId="0" borderId="38" xfId="0" applyNumberFormat="1" applyBorder="1" applyProtection="1"/>
    <xf numFmtId="0" fontId="0" fillId="0" borderId="39" xfId="0" applyBorder="1" applyProtection="1"/>
    <xf numFmtId="166" fontId="0" fillId="0" borderId="39" xfId="0" applyNumberFormat="1" applyBorder="1" applyProtection="1"/>
    <xf numFmtId="166" fontId="0" fillId="0" borderId="40" xfId="0" applyNumberFormat="1" applyBorder="1" applyProtection="1"/>
    <xf numFmtId="0" fontId="0" fillId="0" borderId="41" xfId="0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5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0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0" xfId="0" quotePrefix="1" applyBorder="1" applyAlignment="1" applyProtection="1">
      <alignment horizontal="right"/>
    </xf>
    <xf numFmtId="0" fontId="0" fillId="0" borderId="22" xfId="0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164" fontId="3" fillId="0" borderId="24" xfId="0" applyNumberFormat="1" applyFont="1" applyBorder="1" applyAlignment="1" applyProtection="1">
      <alignment horizontal="right"/>
    </xf>
    <xf numFmtId="167" fontId="0" fillId="0" borderId="22" xfId="0" applyNumberFormat="1" applyBorder="1" applyAlignment="1" applyProtection="1">
      <alignment horizontal="center"/>
    </xf>
    <xf numFmtId="167" fontId="0" fillId="4" borderId="24" xfId="0" applyNumberFormat="1" applyFill="1" applyBorder="1" applyAlignment="1" applyProtection="1">
      <alignment horizontal="center"/>
    </xf>
    <xf numFmtId="167" fontId="0" fillId="0" borderId="31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4" fontId="1" fillId="0" borderId="16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0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0" xfId="0" applyNumberFormat="1" applyFont="1" applyBorder="1" applyAlignment="1" applyProtection="1">
      <alignment horizontal="center"/>
    </xf>
    <xf numFmtId="14" fontId="0" fillId="0" borderId="16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0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2" xfId="0" quotePrefix="1" applyFont="1" applyBorder="1" applyAlignment="1" applyProtection="1">
      <alignment horizontal="center"/>
    </xf>
    <xf numFmtId="164" fontId="4" fillId="0" borderId="21" xfId="0" quotePrefix="1" applyNumberFormat="1" applyFont="1" applyBorder="1" applyAlignment="1" applyProtection="1">
      <alignment horizontal="center" vertical="center" wrapText="1"/>
    </xf>
    <xf numFmtId="0" fontId="4" fillId="0" borderId="22" xfId="0" quotePrefix="1" applyFont="1" applyBorder="1" applyAlignment="1" applyProtection="1">
      <alignment horizontal="center" vertical="center" wrapText="1"/>
    </xf>
    <xf numFmtId="164" fontId="4" fillId="5" borderId="22" xfId="0" quotePrefix="1" applyNumberFormat="1" applyFont="1" applyFill="1" applyBorder="1" applyAlignment="1" applyProtection="1">
      <alignment horizontal="center" vertical="center" wrapText="1"/>
    </xf>
    <xf numFmtId="164" fontId="4" fillId="0" borderId="22" xfId="0" applyNumberFormat="1" applyFont="1" applyBorder="1" applyAlignment="1" applyProtection="1">
      <alignment horizontal="center" vertical="center" wrapText="1"/>
    </xf>
    <xf numFmtId="164" fontId="4" fillId="0" borderId="31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26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3" xfId="0" applyNumberFormat="1" applyBorder="1" applyAlignment="1" applyProtection="1">
      <alignment horizontal="center"/>
    </xf>
    <xf numFmtId="14" fontId="1" fillId="0" borderId="33" xfId="0" applyNumberFormat="1" applyFont="1" applyFill="1" applyBorder="1" applyProtection="1"/>
    <xf numFmtId="14" fontId="7" fillId="2" borderId="33" xfId="0" applyNumberFormat="1" applyFont="1" applyFill="1" applyBorder="1" applyAlignment="1" applyProtection="1">
      <alignment horizontal="left"/>
    </xf>
    <xf numFmtId="14" fontId="1" fillId="0" borderId="0" xfId="0" applyNumberFormat="1" applyFont="1" applyFill="1" applyBorder="1" applyProtection="1"/>
    <xf numFmtId="0" fontId="0" fillId="0" borderId="33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4" xfId="0" applyBorder="1" applyProtection="1"/>
    <xf numFmtId="0" fontId="0" fillId="0" borderId="45" xfId="0" applyBorder="1" applyProtection="1"/>
    <xf numFmtId="0" fontId="0" fillId="0" borderId="0" xfId="0" quotePrefix="1" applyBorder="1" applyAlignment="1" applyProtection="1">
      <alignment horizontal="center"/>
    </xf>
    <xf numFmtId="167" fontId="7" fillId="6" borderId="24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169" fontId="6" fillId="0" borderId="0" xfId="0" applyNumberFormat="1" applyFont="1" applyBorder="1" applyProtection="1"/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22" xfId="0" quotePrefix="1" applyFont="1" applyFill="1" applyBorder="1" applyAlignment="1" applyProtection="1">
      <alignment horizontal="center" vertical="center"/>
    </xf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2" xfId="0" quotePrefix="1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0" fontId="9" fillId="0" borderId="0" xfId="0" quotePrefix="1" applyFont="1" applyBorder="1" applyAlignment="1" applyProtection="1">
      <alignment horizontal="center" vertical="center" wrapText="1"/>
    </xf>
    <xf numFmtId="168" fontId="0" fillId="0" borderId="0" xfId="4" quotePrefix="1" applyNumberFormat="1" applyFont="1" applyBorder="1" applyAlignment="1" applyProtection="1">
      <alignment horizontal="left"/>
    </xf>
    <xf numFmtId="168" fontId="9" fillId="3" borderId="0" xfId="4" quotePrefix="1" applyNumberFormat="1" applyFont="1" applyFill="1" applyBorder="1" applyAlignment="1" applyProtection="1">
      <alignment horizontal="left" vertical="center" wrapText="1"/>
    </xf>
    <xf numFmtId="168" fontId="0" fillId="0" borderId="0" xfId="4" applyNumberFormat="1" applyFont="1" applyBorder="1" applyAlignment="1" applyProtection="1">
      <alignment horizontal="left"/>
    </xf>
    <xf numFmtId="37" fontId="9" fillId="3" borderId="0" xfId="4" quotePrefix="1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9" fillId="3" borderId="22" xfId="0" quotePrefix="1" applyFont="1" applyFill="1" applyBorder="1" applyAlignment="1" applyProtection="1">
      <alignment horizontal="left" vertical="center" wrapText="1"/>
    </xf>
    <xf numFmtId="0" fontId="0" fillId="0" borderId="46" xfId="0" applyBorder="1" applyProtection="1"/>
    <xf numFmtId="0" fontId="0" fillId="0" borderId="47" xfId="0" quotePrefix="1" applyBorder="1" applyAlignment="1" applyProtection="1">
      <alignment horizontal="left"/>
    </xf>
    <xf numFmtId="0" fontId="0" fillId="0" borderId="47" xfId="0" applyBorder="1" applyProtection="1"/>
    <xf numFmtId="0" fontId="0" fillId="0" borderId="48" xfId="0" applyBorder="1" applyProtection="1"/>
    <xf numFmtId="0" fontId="9" fillId="3" borderId="49" xfId="0" quotePrefix="1" applyFont="1" applyFill="1" applyBorder="1" applyAlignment="1" applyProtection="1">
      <alignment horizontal="left" vertical="center" wrapText="1"/>
    </xf>
    <xf numFmtId="0" fontId="0" fillId="0" borderId="50" xfId="0" quotePrefix="1" applyBorder="1" applyAlignment="1" applyProtection="1">
      <alignment horizontal="left"/>
    </xf>
    <xf numFmtId="0" fontId="9" fillId="0" borderId="51" xfId="0" quotePrefix="1" applyFont="1" applyBorder="1" applyAlignment="1" applyProtection="1">
      <alignment horizontal="center" vertical="center" wrapText="1"/>
    </xf>
    <xf numFmtId="37" fontId="0" fillId="0" borderId="0" xfId="0" applyNumberFormat="1"/>
    <xf numFmtId="37" fontId="0" fillId="0" borderId="0" xfId="1" applyNumberFormat="1" applyFont="1"/>
    <xf numFmtId="37" fontId="9" fillId="3" borderId="22" xfId="0" quotePrefix="1" applyNumberFormat="1" applyFont="1" applyFill="1" applyBorder="1" applyAlignment="1" applyProtection="1">
      <alignment vertical="center" wrapText="1"/>
    </xf>
    <xf numFmtId="0" fontId="1" fillId="0" borderId="0" xfId="5"/>
    <xf numFmtId="0" fontId="0" fillId="0" borderId="0" xfId="0" applyAlignment="1">
      <alignment horizontal="center" wrapText="1"/>
    </xf>
    <xf numFmtId="43" fontId="0" fillId="0" borderId="0" xfId="1" applyFont="1" applyProtection="1"/>
    <xf numFmtId="166" fontId="25" fillId="0" borderId="39" xfId="0" applyNumberFormat="1" applyFont="1" applyBorder="1" applyProtection="1"/>
    <xf numFmtId="166" fontId="25" fillId="0" borderId="0" xfId="0" applyNumberFormat="1" applyFont="1" applyProtection="1"/>
    <xf numFmtId="166" fontId="25" fillId="0" borderId="40" xfId="0" applyNumberFormat="1" applyFont="1" applyBorder="1" applyProtection="1"/>
    <xf numFmtId="166" fontId="25" fillId="0" borderId="34" xfId="0" applyNumberFormat="1" applyFont="1" applyBorder="1" applyProtection="1"/>
    <xf numFmtId="166" fontId="25" fillId="0" borderId="37" xfId="0" applyNumberFormat="1" applyFont="1" applyBorder="1" applyProtection="1"/>
    <xf numFmtId="166" fontId="25" fillId="0" borderId="38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5" xr:uid="{86673473-3D99-4C2A-A68A-2C876F2414C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7040" refreshedDate="45456.441424652781" createdVersion="6" refreshedVersion="8" recordCount="192" xr:uid="{00000000-000A-0000-FFFF-FFFFEA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3-12-02T00:00:00" count="168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2-01-01T00:00:00" u="1"/>
        <d v="2022-02-01T00:00:00" u="1"/>
        <d v="2022-03-01T00:00:00" u="1"/>
        <d v="2022-04-01T00:00:00" u="1"/>
        <d v="2022-05-01T00:00:00" u="1"/>
        <d v="2022-06-01T00:00:00" u="1"/>
        <d v="2022-07-01T00:00:00" u="1"/>
        <d v="2022-08-01T00:00:00" u="1"/>
        <d v="2022-09-01T00:00:00" u="1"/>
        <d v="2022-10-01T00:00:00" u="1"/>
        <d v="2022-11-01T00:00:00" u="1"/>
        <d v="2022-12-01T00:00:00" u="1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3-02-03T00:00:00" maxDate="2024-01-04T00:00:00"/>
    </cacheField>
    <cacheField name="Payment Received*" numFmtId="14">
      <sharedItems containsSemiMixedTypes="0" containsNonDate="0" containsDate="1" containsString="0" minDate="2023-02-24T00:00:00" maxDate="2024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65"/>
    </cacheField>
    <cacheField name="Projected Rate (as Invoiced)" numFmtId="164">
      <sharedItems containsSemiMixedTypes="0" containsString="0" containsNumber="1" minValue="2687.49" maxValue="2687.49"/>
    </cacheField>
    <cacheField name="Actual True-Up Rate" numFmtId="0">
      <sharedItems containsSemiMixedTypes="0" containsString="0" containsNumber="1" minValue="2669.98" maxValue="2669.98"/>
    </cacheField>
    <cacheField name="True-Up Charge" numFmtId="164">
      <sharedItems containsSemiMixedTypes="0" containsString="0" containsNumber="1" minValue="2669.98" maxValue="11387464.699999999"/>
    </cacheField>
    <cacheField name="Invoiced*** Charge (proj.)" numFmtId="164">
      <sharedItems containsSemiMixedTypes="0" containsString="0" containsNumber="1" minValue="2687.49" maxValue="11462144.85"/>
    </cacheField>
    <cacheField name="True-Up w/o Interest" numFmtId="164">
      <sharedItems containsSemiMixedTypes="0" containsString="0" containsNumber="1" minValue="-74680.150000000373" maxValue="-17.509999999999764"/>
    </cacheField>
    <cacheField name="Interest" numFmtId="164">
      <sharedItems containsSemiMixedTypes="0" containsString="0" containsNumber="1" minValue="-6120.9052752984726" maxValue="-1.4351477784990556"/>
    </cacheField>
    <cacheField name="2023 True Up Including Interest" numFmtId="164">
      <sharedItems containsSemiMixedTypes="0" containsString="0" containsNumber="1" minValue="-80801.055275298844" maxValue="-18.945147778498818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80801.055275298844" maxValue="-18.9451477784988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3-02-03T00:00:00"/>
    <d v="2023-02-24T00:00:00"/>
    <x v="0"/>
    <n v="9"/>
    <n v="2810"/>
    <n v="2687.49"/>
    <n v="2669.98"/>
    <n v="7502643.7999999998"/>
    <n v="7551846.8999999994"/>
    <n v="-49203.099999999627"/>
    <n v="-4032.7652575823467"/>
    <n v="-53235.865257581972"/>
    <n v="0"/>
    <n v="0"/>
    <n v="0"/>
    <n v="-53235.865257581972"/>
  </r>
  <r>
    <x v="1"/>
    <d v="2023-03-03T00:00:00"/>
    <d v="2023-03-24T00:00:00"/>
    <x v="0"/>
    <n v="9"/>
    <n v="2771"/>
    <n v="2687.49"/>
    <n v="2669.98"/>
    <n v="7398514.5800000001"/>
    <n v="7447034.7899999991"/>
    <n v="-48520.209999999031"/>
    <n v="-3976.7944942208837"/>
    <n v="-52497.004494219917"/>
    <n v="0"/>
    <n v="0"/>
    <n v="0"/>
    <n v="-52497.004494219917"/>
  </r>
  <r>
    <x v="2"/>
    <d v="2023-04-05T00:00:00"/>
    <d v="2023-04-24T00:00:00"/>
    <x v="0"/>
    <n v="9"/>
    <n v="2389"/>
    <n v="2687.49"/>
    <n v="2669.98"/>
    <n v="6378582.2199999997"/>
    <n v="6420413.6099999994"/>
    <n v="-41831.389999999665"/>
    <n v="-3428.5680428342444"/>
    <n v="-45259.95804283391"/>
    <n v="0"/>
    <n v="0"/>
    <n v="0"/>
    <n v="-45259.95804283391"/>
  </r>
  <r>
    <x v="3"/>
    <d v="2023-05-03T00:00:00"/>
    <d v="2023-05-24T00:00:00"/>
    <x v="0"/>
    <n v="9"/>
    <n v="2392"/>
    <n v="2687.49"/>
    <n v="2669.98"/>
    <n v="6386592.1600000001"/>
    <n v="6428476.0799999991"/>
    <n v="-41883.919999998994"/>
    <n v="-3432.8734861697417"/>
    <n v="-45316.793486168739"/>
    <n v="0"/>
    <n v="0"/>
    <n v="0"/>
    <n v="-45316.793486168739"/>
  </r>
  <r>
    <x v="4"/>
    <d v="2023-06-05T00:00:00"/>
    <d v="2023-06-26T00:00:00"/>
    <x v="0"/>
    <n v="9"/>
    <n v="3231"/>
    <n v="2687.49"/>
    <n v="2669.98"/>
    <n v="8626705.3800000008"/>
    <n v="8683280.1899999995"/>
    <n v="-56574.809999998659"/>
    <n v="-4636.9624723304496"/>
    <n v="-61211.77247232911"/>
    <n v="0"/>
    <n v="0"/>
    <n v="0"/>
    <n v="-61211.77247232911"/>
  </r>
  <r>
    <x v="5"/>
    <d v="2023-07-05T00:00:00"/>
    <d v="2023-07-24T00:00:00"/>
    <x v="0"/>
    <n v="9"/>
    <n v="4100"/>
    <n v="2687.49"/>
    <n v="2669.98"/>
    <n v="10946918"/>
    <n v="11018709"/>
    <n v="-71791"/>
    <n v="-5884.1058918461285"/>
    <n v="-77675.105891846135"/>
    <n v="0"/>
    <n v="0"/>
    <n v="0"/>
    <n v="-77675.105891846135"/>
  </r>
  <r>
    <x v="6"/>
    <d v="2023-08-03T00:00:00"/>
    <d v="2023-08-24T00:00:00"/>
    <x v="0"/>
    <n v="9"/>
    <n v="3988"/>
    <n v="2687.49"/>
    <n v="2669.98"/>
    <n v="10647880.24"/>
    <n v="10717710.119999999"/>
    <n v="-69829.879999998957"/>
    <n v="-5723.3693406542352"/>
    <n v="-75553.249340653187"/>
    <n v="0"/>
    <n v="0"/>
    <n v="0"/>
    <n v="-75553.249340653187"/>
  </r>
  <r>
    <x v="7"/>
    <d v="2023-09-05T00:00:00"/>
    <d v="2023-09-25T00:00:00"/>
    <x v="0"/>
    <n v="9"/>
    <n v="4265"/>
    <n v="2687.49"/>
    <n v="2669.98"/>
    <n v="11387464.699999999"/>
    <n v="11462144.85"/>
    <n v="-74680.150000000373"/>
    <n v="-6120.9052752984726"/>
    <n v="-80801.055275298844"/>
    <n v="0"/>
    <n v="0"/>
    <n v="0"/>
    <n v="-80801.055275298844"/>
  </r>
  <r>
    <x v="8"/>
    <d v="2023-10-04T00:00:00"/>
    <d v="2023-10-24T00:00:00"/>
    <x v="0"/>
    <n v="9"/>
    <n v="4016"/>
    <n v="2687.49"/>
    <n v="2669.98"/>
    <n v="10722639.68"/>
    <n v="10792959.84"/>
    <n v="-70320.160000000149"/>
    <n v="-5763.5534784522088"/>
    <n v="-76083.713478452351"/>
    <n v="0"/>
    <n v="0"/>
    <n v="0"/>
    <n v="-76083.713478452351"/>
  </r>
  <r>
    <x v="9"/>
    <d v="2023-11-03T00:00:00"/>
    <d v="2023-11-24T00:00:00"/>
    <x v="0"/>
    <n v="9"/>
    <n v="3105"/>
    <n v="2687.49"/>
    <n v="2669.98"/>
    <n v="8290287.9000000004"/>
    <n v="8344656.4499999993"/>
    <n v="-54368.549999998882"/>
    <n v="-4456.1338522395681"/>
    <n v="-58824.68385223845"/>
    <n v="0"/>
    <n v="0"/>
    <n v="0"/>
    <n v="-58824.68385223845"/>
  </r>
  <r>
    <x v="10"/>
    <d v="2023-12-06T00:00:00"/>
    <d v="2023-12-25T00:00:00"/>
    <x v="0"/>
    <n v="9"/>
    <n v="2513"/>
    <n v="2687.49"/>
    <n v="2669.98"/>
    <n v="6709659.7400000002"/>
    <n v="6753662.3699999992"/>
    <n v="-44002.629999998957"/>
    <n v="-3606.5263673681275"/>
    <n v="-47609.156367367083"/>
    <n v="0"/>
    <n v="0"/>
    <n v="0"/>
    <n v="-47609.156367367083"/>
  </r>
  <r>
    <x v="11"/>
    <d v="2024-01-03T00:00:00"/>
    <d v="2024-01-24T00:00:00"/>
    <x v="0"/>
    <n v="9"/>
    <n v="2474"/>
    <n v="2687.49"/>
    <n v="2669.98"/>
    <n v="6605530.5200000005"/>
    <n v="6648850.2599999998"/>
    <n v="-43319.739999999292"/>
    <n v="-3550.555604006664"/>
    <n v="-46870.295604005958"/>
    <n v="0"/>
    <n v="0"/>
    <n v="0"/>
    <n v="-46870.295604005958"/>
  </r>
  <r>
    <x v="0"/>
    <d v="2023-02-03T00:00:00"/>
    <d v="2023-02-24T00:00:00"/>
    <x v="1"/>
    <n v="9"/>
    <n v="2724"/>
    <n v="2687.49"/>
    <n v="2669.98"/>
    <n v="7273025.5200000005"/>
    <n v="7320722.7599999998"/>
    <n v="-47697.239999999292"/>
    <n v="-3909.3425486314281"/>
    <n v="-51606.582548630722"/>
    <n v="0"/>
    <n v="0"/>
    <n v="0"/>
    <n v="-51606.582548630722"/>
  </r>
  <r>
    <x v="1"/>
    <d v="2023-03-03T00:00:00"/>
    <d v="2023-03-24T00:00:00"/>
    <x v="1"/>
    <n v="9"/>
    <n v="2757"/>
    <n v="2687.49"/>
    <n v="2669.98"/>
    <n v="7361134.8600000003"/>
    <n v="7409409.9299999997"/>
    <n v="-48275.069999999367"/>
    <n v="-3956.702425321897"/>
    <n v="-52231.772425321265"/>
    <n v="0"/>
    <n v="0"/>
    <n v="0"/>
    <n v="-52231.772425321265"/>
  </r>
  <r>
    <x v="2"/>
    <d v="2023-04-05T00:00:00"/>
    <d v="2023-04-24T00:00:00"/>
    <x v="1"/>
    <n v="9"/>
    <n v="2641"/>
    <n v="2687.49"/>
    <n v="2669.98"/>
    <n v="7051417.1799999997"/>
    <n v="7097661.0899999999"/>
    <n v="-46243.910000000149"/>
    <n v="-3790.2252830160064"/>
    <n v="-50034.135283016156"/>
    <n v="0"/>
    <n v="0"/>
    <n v="0"/>
    <n v="-50034.135283016156"/>
  </r>
  <r>
    <x v="3"/>
    <d v="2023-05-03T00:00:00"/>
    <d v="2023-05-24T00:00:00"/>
    <x v="1"/>
    <n v="9"/>
    <n v="2417"/>
    <n v="2687.49"/>
    <n v="2669.98"/>
    <n v="6453341.6600000001"/>
    <n v="6495663.3299999991"/>
    <n v="-42321.669999998994"/>
    <n v="-3468.7521806322179"/>
    <n v="-45790.422180631213"/>
    <n v="0"/>
    <n v="0"/>
    <n v="0"/>
    <n v="-45790.422180631213"/>
  </r>
  <r>
    <x v="4"/>
    <d v="2023-06-05T00:00:00"/>
    <d v="2023-06-26T00:00:00"/>
    <x v="1"/>
    <n v="9"/>
    <n v="2844"/>
    <n v="2687.49"/>
    <n v="2669.98"/>
    <n v="7593423.1200000001"/>
    <n v="7643221.5599999996"/>
    <n v="-49798.439999999478"/>
    <n v="-4081.5602820513145"/>
    <n v="-53880.000282050794"/>
    <n v="0"/>
    <n v="0"/>
    <n v="0"/>
    <n v="-53880.000282050794"/>
  </r>
  <r>
    <x v="5"/>
    <d v="2023-07-05T00:00:00"/>
    <d v="2023-07-24T00:00:00"/>
    <x v="1"/>
    <n v="9"/>
    <n v="3500"/>
    <n v="2687.49"/>
    <n v="2669.98"/>
    <n v="9344930"/>
    <n v="9406215"/>
    <n v="-61285"/>
    <n v="-5023.0172247466953"/>
    <n v="-66308.017224746698"/>
    <n v="0"/>
    <n v="0"/>
    <n v="0"/>
    <n v="-66308.017224746698"/>
  </r>
  <r>
    <x v="6"/>
    <d v="2023-08-03T00:00:00"/>
    <d v="2023-08-24T00:00:00"/>
    <x v="1"/>
    <n v="9"/>
    <n v="3569"/>
    <n v="2687.49"/>
    <n v="2669.98"/>
    <n v="9529158.6199999992"/>
    <n v="9591651.8099999987"/>
    <n v="-62493.189999999478"/>
    <n v="-5122.0424214631303"/>
    <n v="-67615.232421462613"/>
    <n v="0"/>
    <n v="0"/>
    <n v="0"/>
    <n v="-67615.232421462613"/>
  </r>
  <r>
    <x v="7"/>
    <d v="2023-09-05T00:00:00"/>
    <d v="2023-09-25T00:00:00"/>
    <x v="1"/>
    <n v="9"/>
    <n v="3766"/>
    <n v="2687.49"/>
    <n v="2669.98"/>
    <n v="10055144.68"/>
    <n v="10121087.34"/>
    <n v="-65942.660000000149"/>
    <n v="-5404.7665338274437"/>
    <n v="-71347.426533827587"/>
    <n v="0"/>
    <n v="0"/>
    <n v="0"/>
    <n v="-71347.426533827587"/>
  </r>
  <r>
    <x v="8"/>
    <d v="2023-10-04T00:00:00"/>
    <d v="2023-10-24T00:00:00"/>
    <x v="1"/>
    <n v="9"/>
    <n v="3456"/>
    <n v="2687.49"/>
    <n v="2669.98"/>
    <n v="9227450.8800000008"/>
    <n v="9287965.4399999995"/>
    <n v="-60514.559999998659"/>
    <n v="-4959.8707224927375"/>
    <n v="-65474.430722491394"/>
    <n v="0"/>
    <n v="0"/>
    <n v="0"/>
    <n v="-65474.430722491394"/>
  </r>
  <r>
    <x v="9"/>
    <d v="2023-11-03T00:00:00"/>
    <d v="2023-11-24T00:00:00"/>
    <x v="1"/>
    <n v="9"/>
    <n v="2810"/>
    <n v="2687.49"/>
    <n v="2669.98"/>
    <n v="7502643.7999999998"/>
    <n v="7551846.8999999994"/>
    <n v="-49203.099999999627"/>
    <n v="-4032.7652575823467"/>
    <n v="-53235.865257581972"/>
    <n v="0"/>
    <n v="0"/>
    <n v="0"/>
    <n v="-53235.865257581972"/>
  </r>
  <r>
    <x v="10"/>
    <d v="2023-12-06T00:00:00"/>
    <d v="2023-12-25T00:00:00"/>
    <x v="1"/>
    <n v="9"/>
    <n v="2499"/>
    <n v="2687.49"/>
    <n v="2669.98"/>
    <n v="6672280.0200000005"/>
    <n v="6716037.5099999998"/>
    <n v="-43757.489999999292"/>
    <n v="-3586.4342984691407"/>
    <n v="-47343.924298468432"/>
    <n v="0"/>
    <n v="0"/>
    <n v="0"/>
    <n v="-47343.924298468432"/>
  </r>
  <r>
    <x v="11"/>
    <d v="2024-01-03T00:00:00"/>
    <d v="2024-01-24T00:00:00"/>
    <x v="1"/>
    <n v="9"/>
    <n v="2532"/>
    <n v="2687.49"/>
    <n v="2669.98"/>
    <n v="6760389.3600000003"/>
    <n v="6804724.6799999997"/>
    <n v="-44335.319999999367"/>
    <n v="-3633.7941751596095"/>
    <n v="-47969.114175158975"/>
    <n v="0"/>
    <n v="0"/>
    <n v="0"/>
    <n v="-47969.114175158975"/>
  </r>
  <r>
    <x v="0"/>
    <d v="2023-02-03T00:00:00"/>
    <d v="2023-02-24T00:00:00"/>
    <x v="2"/>
    <n v="9"/>
    <n v="137"/>
    <n v="2687.49"/>
    <n v="2669.98"/>
    <n v="365787.26"/>
    <n v="368186.12999999995"/>
    <n v="-2398.8699999999371"/>
    <n v="-196.61524565437063"/>
    <n v="-2595.4852456543076"/>
    <n v="0"/>
    <n v="0"/>
    <n v="0"/>
    <n v="-2595.4852456543076"/>
  </r>
  <r>
    <x v="1"/>
    <d v="2023-03-03T00:00:00"/>
    <d v="2023-03-24T00:00:00"/>
    <x v="2"/>
    <n v="9"/>
    <n v="132"/>
    <n v="2687.49"/>
    <n v="2669.98"/>
    <n v="352437.36"/>
    <n v="354748.68"/>
    <n v="-2311.320000000007"/>
    <n v="-189.43950676187538"/>
    <n v="-2500.7595067618822"/>
    <n v="0"/>
    <n v="0"/>
    <n v="0"/>
    <n v="-2500.7595067618822"/>
  </r>
  <r>
    <x v="2"/>
    <d v="2023-04-05T00:00:00"/>
    <d v="2023-04-24T00:00:00"/>
    <x v="2"/>
    <n v="9"/>
    <n v="148"/>
    <n v="2687.49"/>
    <n v="2669.98"/>
    <n v="395157.04"/>
    <n v="397748.51999999996"/>
    <n v="-2591.4799999999814"/>
    <n v="-212.40187121786025"/>
    <n v="-2803.8818712178418"/>
    <n v="0"/>
    <n v="0"/>
    <n v="0"/>
    <n v="-2803.8818712178418"/>
  </r>
  <r>
    <x v="3"/>
    <d v="2023-05-03T00:00:00"/>
    <d v="2023-05-24T00:00:00"/>
    <x v="2"/>
    <n v="9"/>
    <n v="92"/>
    <n v="2687.49"/>
    <n v="2669.98"/>
    <n v="245638.16"/>
    <n v="247249.08"/>
    <n v="-1610.9199999999837"/>
    <n v="-132.03359562191315"/>
    <n v="-1742.953595621897"/>
    <n v="0"/>
    <n v="0"/>
    <n v="0"/>
    <n v="-1742.953595621897"/>
  </r>
  <r>
    <x v="4"/>
    <d v="2023-06-05T00:00:00"/>
    <d v="2023-06-26T00:00:00"/>
    <x v="2"/>
    <n v="9"/>
    <n v="104"/>
    <n v="2687.49"/>
    <n v="2669.98"/>
    <n v="277677.92"/>
    <n v="279498.95999999996"/>
    <n v="-1821.039999999979"/>
    <n v="-149.25536896390179"/>
    <n v="-1970.2953689638807"/>
    <n v="0"/>
    <n v="0"/>
    <n v="0"/>
    <n v="-1970.2953689638807"/>
  </r>
  <r>
    <x v="5"/>
    <d v="2023-07-05T00:00:00"/>
    <d v="2023-07-24T00:00:00"/>
    <x v="2"/>
    <n v="9"/>
    <n v="156"/>
    <n v="2687.49"/>
    <n v="2669.98"/>
    <n v="416516.88"/>
    <n v="419248.43999999994"/>
    <n v="-2731.5599999999395"/>
    <n v="-223.88305344585271"/>
    <n v="-2955.443053445792"/>
    <n v="0"/>
    <n v="0"/>
    <n v="0"/>
    <n v="-2955.443053445792"/>
  </r>
  <r>
    <x v="6"/>
    <d v="2023-08-03T00:00:00"/>
    <d v="2023-08-24T00:00:00"/>
    <x v="2"/>
    <n v="9"/>
    <n v="155"/>
    <n v="2687.49"/>
    <n v="2669.98"/>
    <n v="413846.9"/>
    <n v="416560.94999999995"/>
    <n v="-2714.0499999999302"/>
    <n v="-222.44790566735364"/>
    <n v="-2936.4979056672837"/>
    <n v="0"/>
    <n v="0"/>
    <n v="0"/>
    <n v="-2936.4979056672837"/>
  </r>
  <r>
    <x v="7"/>
    <d v="2023-09-05T00:00:00"/>
    <d v="2023-09-25T00:00:00"/>
    <x v="2"/>
    <n v="9"/>
    <n v="159"/>
    <n v="2687.49"/>
    <n v="2669.98"/>
    <n v="424526.82"/>
    <n v="427310.91"/>
    <n v="-2784.0899999999674"/>
    <n v="-228.18849678134987"/>
    <n v="-3012.2784967813172"/>
    <n v="0"/>
    <n v="0"/>
    <n v="0"/>
    <n v="-3012.2784967813172"/>
  </r>
  <r>
    <x v="8"/>
    <d v="2023-10-04T00:00:00"/>
    <d v="2023-10-24T00:00:00"/>
    <x v="2"/>
    <n v="9"/>
    <n v="144"/>
    <n v="2687.49"/>
    <n v="2669.98"/>
    <n v="384477.12"/>
    <n v="386998.55999999994"/>
    <n v="-2521.4399999999441"/>
    <n v="-206.66128010386404"/>
    <n v="-2728.1012801038082"/>
    <n v="0"/>
    <n v="0"/>
    <n v="0"/>
    <n v="-2728.1012801038082"/>
  </r>
  <r>
    <x v="9"/>
    <d v="2023-11-03T00:00:00"/>
    <d v="2023-11-24T00:00:00"/>
    <x v="2"/>
    <n v="9"/>
    <n v="117"/>
    <n v="2687.49"/>
    <n v="2669.98"/>
    <n v="312387.65999999997"/>
    <n v="314436.32999999996"/>
    <n v="-2048.6699999999837"/>
    <n v="-167.91229008438955"/>
    <n v="-2216.5822900843732"/>
    <n v="0"/>
    <n v="0"/>
    <n v="0"/>
    <n v="-2216.5822900843732"/>
  </r>
  <r>
    <x v="10"/>
    <d v="2023-12-06T00:00:00"/>
    <d v="2023-12-25T00:00:00"/>
    <x v="2"/>
    <n v="9"/>
    <n v="134"/>
    <n v="2687.49"/>
    <n v="2669.98"/>
    <n v="357777.32"/>
    <n v="360123.66"/>
    <n v="-2346.3399999999674"/>
    <n v="-192.30980231887349"/>
    <n v="-2538.649802318841"/>
    <n v="0"/>
    <n v="0"/>
    <n v="0"/>
    <n v="-2538.649802318841"/>
  </r>
  <r>
    <x v="11"/>
    <d v="2024-01-03T00:00:00"/>
    <d v="2024-01-24T00:00:00"/>
    <x v="2"/>
    <n v="9"/>
    <n v="145"/>
    <n v="2687.49"/>
    <n v="2669.98"/>
    <n v="387147.1"/>
    <n v="389686.05"/>
    <n v="-2538.9500000000116"/>
    <n v="-208.09642788236312"/>
    <n v="-2747.0464278823747"/>
    <n v="0"/>
    <n v="0"/>
    <n v="0"/>
    <n v="-2747.0464278823747"/>
  </r>
  <r>
    <x v="0"/>
    <d v="2023-02-03T00:00:00"/>
    <d v="2023-02-24T00:00:00"/>
    <x v="3"/>
    <n v="9"/>
    <n v="828"/>
    <n v="2687.49"/>
    <n v="2669.98"/>
    <n v="2210743.44"/>
    <n v="2225241.7199999997"/>
    <n v="-14498.279999999795"/>
    <n v="-1188.3023605972182"/>
    <n v="-15686.582360597013"/>
    <n v="0"/>
    <n v="0"/>
    <n v="0"/>
    <n v="-15686.582360597013"/>
  </r>
  <r>
    <x v="1"/>
    <d v="2023-03-03T00:00:00"/>
    <d v="2023-03-24T00:00:00"/>
    <x v="3"/>
    <n v="9"/>
    <n v="786"/>
    <n v="2687.49"/>
    <n v="2669.98"/>
    <n v="2098604.2799999998"/>
    <n v="2112367.1399999997"/>
    <n v="-13762.85999999987"/>
    <n v="-1128.0261539002579"/>
    <n v="-14890.886153900128"/>
    <n v="0"/>
    <n v="0"/>
    <n v="0"/>
    <n v="-14890.886153900128"/>
  </r>
  <r>
    <x v="2"/>
    <d v="2023-04-05T00:00:00"/>
    <d v="2023-04-24T00:00:00"/>
    <x v="3"/>
    <n v="9"/>
    <n v="702"/>
    <n v="2687.49"/>
    <n v="2669.98"/>
    <n v="1874325.96"/>
    <n v="1886617.9799999997"/>
    <n v="-12292.019999999786"/>
    <n v="-1007.4737405063372"/>
    <n v="-13299.493740506123"/>
    <n v="0"/>
    <n v="0"/>
    <n v="0"/>
    <n v="-13299.493740506123"/>
  </r>
  <r>
    <x v="3"/>
    <d v="2023-05-03T00:00:00"/>
    <d v="2023-05-24T00:00:00"/>
    <x v="3"/>
    <n v="9"/>
    <n v="519"/>
    <n v="2687.49"/>
    <n v="2669.98"/>
    <n v="1385719.62"/>
    <n v="1394807.3099999998"/>
    <n v="-9087.6899999997113"/>
    <n v="-744.84169704100998"/>
    <n v="-9832.5316970407221"/>
    <n v="0"/>
    <n v="0"/>
    <n v="0"/>
    <n v="-9832.5316970407221"/>
  </r>
  <r>
    <x v="4"/>
    <d v="2023-06-05T00:00:00"/>
    <d v="2023-06-26T00:00:00"/>
    <x v="3"/>
    <n v="9"/>
    <n v="720"/>
    <n v="2687.49"/>
    <n v="2669.98"/>
    <n v="1922385.6"/>
    <n v="1934992.7999999998"/>
    <n v="-12607.199999999721"/>
    <n v="-1033.3064005193203"/>
    <n v="-13640.506400519042"/>
    <n v="0"/>
    <n v="0"/>
    <n v="0"/>
    <n v="-13640.506400519042"/>
  </r>
  <r>
    <x v="5"/>
    <d v="2023-07-05T00:00:00"/>
    <d v="2023-07-24T00:00:00"/>
    <x v="3"/>
    <n v="9"/>
    <n v="975"/>
    <n v="2687.49"/>
    <n v="2669.98"/>
    <n v="2603230.5"/>
    <n v="2620302.75"/>
    <n v="-17072.25"/>
    <n v="-1399.2690840365794"/>
    <n v="-18471.519084036579"/>
    <n v="0"/>
    <n v="0"/>
    <n v="0"/>
    <n v="-18471.519084036579"/>
  </r>
  <r>
    <x v="6"/>
    <d v="2023-08-03T00:00:00"/>
    <d v="2023-08-24T00:00:00"/>
    <x v="3"/>
    <n v="9"/>
    <n v="924"/>
    <n v="2687.49"/>
    <n v="2669.98"/>
    <n v="2467061.52"/>
    <n v="2483240.7599999998"/>
    <n v="-16179.239999999758"/>
    <n v="-1326.0765473331276"/>
    <n v="-17505.316547332885"/>
    <n v="0"/>
    <n v="0"/>
    <n v="0"/>
    <n v="-17505.316547332885"/>
  </r>
  <r>
    <x v="7"/>
    <d v="2023-09-05T00:00:00"/>
    <d v="2023-09-25T00:00:00"/>
    <x v="3"/>
    <n v="9"/>
    <n v="1053"/>
    <n v="2687.49"/>
    <n v="2669.98"/>
    <n v="2811488.94"/>
    <n v="2829926.9699999997"/>
    <n v="-18438.029999999795"/>
    <n v="-1511.2106107595059"/>
    <n v="-19949.240610759301"/>
    <n v="0"/>
    <n v="0"/>
    <n v="0"/>
    <n v="-19949.240610759301"/>
  </r>
  <r>
    <x v="8"/>
    <d v="2023-10-04T00:00:00"/>
    <d v="2023-10-24T00:00:00"/>
    <x v="3"/>
    <n v="9"/>
    <n v="905"/>
    <n v="2687.49"/>
    <n v="2669.98"/>
    <n v="2416331.9"/>
    <n v="2432178.4499999997"/>
    <n v="-15846.549999999814"/>
    <n v="-1298.8087395416455"/>
    <n v="-17145.358739541458"/>
    <n v="0"/>
    <n v="0"/>
    <n v="0"/>
    <n v="-17145.358739541458"/>
  </r>
  <r>
    <x v="9"/>
    <d v="2023-11-03T00:00:00"/>
    <d v="2023-11-24T00:00:00"/>
    <x v="3"/>
    <n v="9"/>
    <n v="694"/>
    <n v="2687.49"/>
    <n v="2669.98"/>
    <n v="1852966.12"/>
    <n v="1865118.0599999998"/>
    <n v="-12151.939999999711"/>
    <n v="-995.99255827834475"/>
    <n v="-13147.932558278057"/>
    <n v="0"/>
    <n v="0"/>
    <n v="0"/>
    <n v="-13147.932558278057"/>
  </r>
  <r>
    <x v="10"/>
    <d v="2023-12-06T00:00:00"/>
    <d v="2023-12-25T00:00:00"/>
    <x v="3"/>
    <n v="9"/>
    <n v="736"/>
    <n v="2687.49"/>
    <n v="2669.98"/>
    <n v="1965105.28"/>
    <n v="1977992.64"/>
    <n v="-12887.35999999987"/>
    <n v="-1056.2687649753052"/>
    <n v="-13943.628764975176"/>
    <n v="0"/>
    <n v="0"/>
    <n v="0"/>
    <n v="-13943.628764975176"/>
  </r>
  <r>
    <x v="11"/>
    <d v="2024-01-03T00:00:00"/>
    <d v="2024-01-24T00:00:00"/>
    <x v="3"/>
    <n v="9"/>
    <n v="713"/>
    <n v="2687.49"/>
    <n v="2669.98"/>
    <n v="1903695.74"/>
    <n v="1916180.3699999999"/>
    <n v="-12484.629999999888"/>
    <n v="-1023.2603660698268"/>
    <n v="-13507.890366069714"/>
    <n v="0"/>
    <n v="0"/>
    <n v="0"/>
    <n v="-13507.890366069714"/>
  </r>
  <r>
    <x v="0"/>
    <d v="2023-02-03T00:00:00"/>
    <d v="2023-02-24T00:00:00"/>
    <x v="4"/>
    <n v="9"/>
    <n v="44"/>
    <n v="2687.49"/>
    <n v="2669.98"/>
    <n v="117479.12"/>
    <n v="118249.56"/>
    <n v="-770.44000000000233"/>
    <n v="-63.14650225395846"/>
    <n v="-833.58650225396082"/>
    <n v="0"/>
    <n v="0"/>
    <n v="0"/>
    <n v="-833.58650225396082"/>
  </r>
  <r>
    <x v="1"/>
    <d v="2023-03-03T00:00:00"/>
    <d v="2023-03-24T00:00:00"/>
    <x v="4"/>
    <n v="9"/>
    <n v="42"/>
    <n v="2687.49"/>
    <n v="2669.98"/>
    <n v="112139.16"/>
    <n v="112874.57999999999"/>
    <n v="-735.4199999999837"/>
    <n v="-60.276206696960344"/>
    <n v="-795.69620669694405"/>
    <n v="0"/>
    <n v="0"/>
    <n v="0"/>
    <n v="-795.69620669694405"/>
  </r>
  <r>
    <x v="2"/>
    <d v="2023-04-05T00:00:00"/>
    <d v="2023-04-24T00:00:00"/>
    <x v="4"/>
    <n v="9"/>
    <n v="37"/>
    <n v="2687.49"/>
    <n v="2669.98"/>
    <n v="98789.26"/>
    <n v="99437.12999999999"/>
    <n v="-647.86999999999534"/>
    <n v="-53.100467804465062"/>
    <n v="-700.97046780446044"/>
    <n v="0"/>
    <n v="0"/>
    <n v="0"/>
    <n v="-700.97046780446044"/>
  </r>
  <r>
    <x v="3"/>
    <d v="2023-05-03T00:00:00"/>
    <d v="2023-05-24T00:00:00"/>
    <x v="4"/>
    <n v="9"/>
    <n v="27"/>
    <n v="2687.49"/>
    <n v="2669.98"/>
    <n v="72089.460000000006"/>
    <n v="72562.23"/>
    <n v="-472.76999999998952"/>
    <n v="-38.748990019474512"/>
    <n v="-511.51899001946401"/>
    <n v="0"/>
    <n v="0"/>
    <n v="0"/>
    <n v="-511.51899001946401"/>
  </r>
  <r>
    <x v="4"/>
    <d v="2023-06-05T00:00:00"/>
    <d v="2023-06-26T00:00:00"/>
    <x v="4"/>
    <n v="9"/>
    <n v="42"/>
    <n v="2687.49"/>
    <n v="2669.98"/>
    <n v="112139.16"/>
    <n v="112874.57999999999"/>
    <n v="-735.4199999999837"/>
    <n v="-60.276206696960344"/>
    <n v="-795.69620669694405"/>
    <n v="0"/>
    <n v="0"/>
    <n v="0"/>
    <n v="-795.69620669694405"/>
  </r>
  <r>
    <x v="5"/>
    <d v="2023-07-05T00:00:00"/>
    <d v="2023-07-24T00:00:00"/>
    <x v="4"/>
    <n v="9"/>
    <n v="56"/>
    <n v="2687.49"/>
    <n v="2669.98"/>
    <n v="149518.88"/>
    <n v="150499.44"/>
    <n v="-980.55999999999767"/>
    <n v="-80.368275595947125"/>
    <n v="-1060.9282755959448"/>
    <n v="0"/>
    <n v="0"/>
    <n v="0"/>
    <n v="-1060.9282755959448"/>
  </r>
  <r>
    <x v="6"/>
    <d v="2023-08-03T00:00:00"/>
    <d v="2023-08-24T00:00:00"/>
    <x v="4"/>
    <n v="9"/>
    <n v="54"/>
    <n v="2687.49"/>
    <n v="2669.98"/>
    <n v="144178.92000000001"/>
    <n v="145124.46"/>
    <n v="-945.53999999997905"/>
    <n v="-77.497980038949024"/>
    <n v="-1023.037980038928"/>
    <n v="0"/>
    <n v="0"/>
    <n v="0"/>
    <n v="-1023.037980038928"/>
  </r>
  <r>
    <x v="7"/>
    <d v="2023-09-05T00:00:00"/>
    <d v="2023-09-25T00:00:00"/>
    <x v="4"/>
    <n v="9"/>
    <n v="59"/>
    <n v="2687.49"/>
    <n v="2669.98"/>
    <n v="157528.82"/>
    <n v="158561.90999999997"/>
    <n v="-1033.0899999999674"/>
    <n v="-84.673718931444299"/>
    <n v="-1117.7637189314116"/>
    <n v="0"/>
    <n v="0"/>
    <n v="0"/>
    <n v="-1117.7637189314116"/>
  </r>
  <r>
    <x v="8"/>
    <d v="2023-10-04T00:00:00"/>
    <d v="2023-10-24T00:00:00"/>
    <x v="4"/>
    <n v="9"/>
    <n v="54"/>
    <n v="2687.49"/>
    <n v="2669.98"/>
    <n v="144178.92000000001"/>
    <n v="145124.46"/>
    <n v="-945.53999999997905"/>
    <n v="-77.497980038949024"/>
    <n v="-1023.037980038928"/>
    <n v="0"/>
    <n v="0"/>
    <n v="0"/>
    <n v="-1023.037980038928"/>
  </r>
  <r>
    <x v="9"/>
    <d v="2023-11-03T00:00:00"/>
    <d v="2023-11-24T00:00:00"/>
    <x v="4"/>
    <n v="9"/>
    <n v="37"/>
    <n v="2687.49"/>
    <n v="2669.98"/>
    <n v="98789.26"/>
    <n v="99437.12999999999"/>
    <n v="-647.86999999999534"/>
    <n v="-53.100467804465062"/>
    <n v="-700.97046780446044"/>
    <n v="0"/>
    <n v="0"/>
    <n v="0"/>
    <n v="-700.97046780446044"/>
  </r>
  <r>
    <x v="10"/>
    <d v="2023-12-06T00:00:00"/>
    <d v="2023-12-25T00:00:00"/>
    <x v="4"/>
    <n v="9"/>
    <n v="38"/>
    <n v="2687.49"/>
    <n v="2669.98"/>
    <n v="101459.24"/>
    <n v="102124.62"/>
    <n v="-665.3799999999901"/>
    <n v="-54.535615582964127"/>
    <n v="-719.91561558295427"/>
    <n v="0"/>
    <n v="0"/>
    <n v="0"/>
    <n v="-719.91561558295427"/>
  </r>
  <r>
    <x v="11"/>
    <d v="2024-01-03T00:00:00"/>
    <d v="2024-01-24T00:00:00"/>
    <x v="4"/>
    <n v="9"/>
    <n v="35"/>
    <n v="2687.49"/>
    <n v="2669.98"/>
    <n v="93449.3"/>
    <n v="94062.15"/>
    <n v="-612.84999999999127"/>
    <n v="-50.230172247466953"/>
    <n v="-663.08017224745822"/>
    <n v="0"/>
    <n v="0"/>
    <n v="0"/>
    <n v="-663.08017224745822"/>
  </r>
  <r>
    <x v="0"/>
    <d v="2023-02-03T00:00:00"/>
    <d v="2023-02-24T00:00:00"/>
    <x v="5"/>
    <n v="9"/>
    <n v="53"/>
    <n v="2687.49"/>
    <n v="2669.98"/>
    <n v="141508.94"/>
    <n v="142436.97"/>
    <n v="-928.02999999999884"/>
    <n v="-76.062832260449966"/>
    <n v="-1004.0928322604489"/>
    <n v="0"/>
    <n v="0"/>
    <n v="0"/>
    <n v="-1004.0928322604489"/>
  </r>
  <r>
    <x v="1"/>
    <d v="2023-03-03T00:00:00"/>
    <d v="2023-03-24T00:00:00"/>
    <x v="5"/>
    <n v="9"/>
    <n v="55"/>
    <n v="2687.49"/>
    <n v="2669.98"/>
    <n v="146848.9"/>
    <n v="147811.94999999998"/>
    <n v="-963.04999999998836"/>
    <n v="-78.933127817448081"/>
    <n v="-1041.9831278174365"/>
    <n v="0"/>
    <n v="0"/>
    <n v="0"/>
    <n v="-1041.9831278174365"/>
  </r>
  <r>
    <x v="2"/>
    <d v="2023-04-05T00:00:00"/>
    <d v="2023-04-24T00:00:00"/>
    <x v="5"/>
    <n v="9"/>
    <n v="46"/>
    <n v="2687.49"/>
    <n v="2669.98"/>
    <n v="122819.08"/>
    <n v="123624.54"/>
    <n v="-805.45999999999185"/>
    <n v="-66.016797810956575"/>
    <n v="-871.47679781094848"/>
    <n v="0"/>
    <n v="0"/>
    <n v="0"/>
    <n v="-871.47679781094848"/>
  </r>
  <r>
    <x v="3"/>
    <d v="2023-05-03T00:00:00"/>
    <d v="2023-05-24T00:00:00"/>
    <x v="5"/>
    <n v="9"/>
    <n v="33"/>
    <n v="2687.49"/>
    <n v="2669.98"/>
    <n v="88109.34"/>
    <n v="88687.17"/>
    <n v="-577.83000000000175"/>
    <n v="-47.359876690468845"/>
    <n v="-625.18987669047056"/>
    <n v="0"/>
    <n v="0"/>
    <n v="0"/>
    <n v="-625.18987669047056"/>
  </r>
  <r>
    <x v="4"/>
    <d v="2023-06-05T00:00:00"/>
    <d v="2023-06-26T00:00:00"/>
    <x v="5"/>
    <n v="9"/>
    <n v="44"/>
    <n v="2687.49"/>
    <n v="2669.98"/>
    <n v="117479.12"/>
    <n v="118249.56"/>
    <n v="-770.44000000000233"/>
    <n v="-63.14650225395846"/>
    <n v="-833.58650225396082"/>
    <n v="0"/>
    <n v="0"/>
    <n v="0"/>
    <n v="-833.58650225396082"/>
  </r>
  <r>
    <x v="5"/>
    <d v="2023-07-05T00:00:00"/>
    <d v="2023-07-24T00:00:00"/>
    <x v="5"/>
    <n v="9"/>
    <n v="55"/>
    <n v="2687.49"/>
    <n v="2669.98"/>
    <n v="146848.9"/>
    <n v="147811.94999999998"/>
    <n v="-963.04999999998836"/>
    <n v="-78.933127817448081"/>
    <n v="-1041.9831278174365"/>
    <n v="0"/>
    <n v="0"/>
    <n v="0"/>
    <n v="-1041.9831278174365"/>
  </r>
  <r>
    <x v="6"/>
    <d v="2023-08-03T00:00:00"/>
    <d v="2023-08-24T00:00:00"/>
    <x v="5"/>
    <n v="9"/>
    <n v="57"/>
    <n v="2687.49"/>
    <n v="2669.98"/>
    <n v="152188.86000000002"/>
    <n v="153186.93"/>
    <n v="-998.06999999997788"/>
    <n v="-81.803423374446183"/>
    <n v="-1079.873423374424"/>
    <n v="0"/>
    <n v="0"/>
    <n v="0"/>
    <n v="-1079.873423374424"/>
  </r>
  <r>
    <x v="7"/>
    <d v="2023-09-05T00:00:00"/>
    <d v="2023-09-25T00:00:00"/>
    <x v="5"/>
    <n v="9"/>
    <n v="56"/>
    <n v="2687.49"/>
    <n v="2669.98"/>
    <n v="149518.88"/>
    <n v="150499.44"/>
    <n v="-980.55999999999767"/>
    <n v="-80.368275595947125"/>
    <n v="-1060.9282755959448"/>
    <n v="0"/>
    <n v="0"/>
    <n v="0"/>
    <n v="-1060.9282755959448"/>
  </r>
  <r>
    <x v="8"/>
    <d v="2023-10-04T00:00:00"/>
    <d v="2023-10-24T00:00:00"/>
    <x v="5"/>
    <n v="9"/>
    <n v="60"/>
    <n v="2687.49"/>
    <n v="2669.98"/>
    <n v="160198.79999999999"/>
    <n v="161249.4"/>
    <n v="-1050.6000000000058"/>
    <n v="-86.108866709943342"/>
    <n v="-1136.7088667099492"/>
    <n v="0"/>
    <n v="0"/>
    <n v="0"/>
    <n v="-1136.7088667099492"/>
  </r>
  <r>
    <x v="9"/>
    <d v="2023-11-03T00:00:00"/>
    <d v="2023-11-24T00:00:00"/>
    <x v="5"/>
    <n v="9"/>
    <n v="48"/>
    <n v="2687.49"/>
    <n v="2669.98"/>
    <n v="128159.04000000001"/>
    <n v="128999.51999999999"/>
    <n v="-840.47999999998137"/>
    <n v="-68.887093367954677"/>
    <n v="-909.36709336793604"/>
    <n v="0"/>
    <n v="0"/>
    <n v="0"/>
    <n v="-909.36709336793604"/>
  </r>
  <r>
    <x v="10"/>
    <d v="2023-12-06T00:00:00"/>
    <d v="2023-12-25T00:00:00"/>
    <x v="5"/>
    <n v="9"/>
    <n v="54"/>
    <n v="2687.49"/>
    <n v="2669.98"/>
    <n v="144178.92000000001"/>
    <n v="145124.46"/>
    <n v="-945.53999999997905"/>
    <n v="-77.497980038949024"/>
    <n v="-1023.037980038928"/>
    <n v="0"/>
    <n v="0"/>
    <n v="0"/>
    <n v="-1023.037980038928"/>
  </r>
  <r>
    <x v="11"/>
    <d v="2024-01-03T00:00:00"/>
    <d v="2024-01-24T00:00:00"/>
    <x v="5"/>
    <n v="9"/>
    <n v="55"/>
    <n v="2687.49"/>
    <n v="2669.98"/>
    <n v="146848.9"/>
    <n v="147811.94999999998"/>
    <n v="-963.04999999998836"/>
    <n v="-78.933127817448081"/>
    <n v="-1041.9831278174365"/>
    <n v="0"/>
    <n v="0"/>
    <n v="0"/>
    <n v="-1041.9831278174365"/>
  </r>
  <r>
    <x v="0"/>
    <d v="2023-02-03T00:00:00"/>
    <d v="2023-02-24T00:00:00"/>
    <x v="6"/>
    <n v="9"/>
    <n v="84"/>
    <n v="2687.49"/>
    <n v="2669.98"/>
    <n v="224278.32"/>
    <n v="225749.15999999997"/>
    <n v="-1470.8399999999674"/>
    <n v="-120.55241339392069"/>
    <n v="-1591.3924133938881"/>
    <n v="0"/>
    <n v="0"/>
    <n v="0"/>
    <n v="-1591.3924133938881"/>
  </r>
  <r>
    <x v="1"/>
    <d v="2023-03-03T00:00:00"/>
    <d v="2023-03-24T00:00:00"/>
    <x v="6"/>
    <n v="9"/>
    <n v="83"/>
    <n v="2687.49"/>
    <n v="2669.98"/>
    <n v="221608.34"/>
    <n v="223061.66999999998"/>
    <n v="-1453.3299999999872"/>
    <n v="-119.11726561542163"/>
    <n v="-1572.4472656154089"/>
    <n v="0"/>
    <n v="0"/>
    <n v="0"/>
    <n v="-1572.4472656154089"/>
  </r>
  <r>
    <x v="2"/>
    <d v="2023-04-05T00:00:00"/>
    <d v="2023-04-24T00:00:00"/>
    <x v="6"/>
    <n v="9"/>
    <n v="76"/>
    <n v="2687.49"/>
    <n v="2669.98"/>
    <n v="202918.48"/>
    <n v="204249.24"/>
    <n v="-1330.7599999999802"/>
    <n v="-109.07123116592825"/>
    <n v="-1439.8312311659085"/>
    <n v="0"/>
    <n v="0"/>
    <n v="0"/>
    <n v="-1439.8312311659085"/>
  </r>
  <r>
    <x v="3"/>
    <d v="2023-05-03T00:00:00"/>
    <d v="2023-05-24T00:00:00"/>
    <x v="6"/>
    <n v="9"/>
    <n v="69"/>
    <n v="2687.49"/>
    <n v="2669.98"/>
    <n v="184228.62"/>
    <n v="185436.81"/>
    <n v="-1208.1900000000023"/>
    <n v="-99.025196716434849"/>
    <n v="-1307.2151967164373"/>
    <n v="0"/>
    <n v="0"/>
    <n v="0"/>
    <n v="-1307.2151967164373"/>
  </r>
  <r>
    <x v="4"/>
    <d v="2023-06-05T00:00:00"/>
    <d v="2023-06-26T00:00:00"/>
    <x v="6"/>
    <n v="9"/>
    <n v="99"/>
    <n v="2687.49"/>
    <n v="2669.98"/>
    <n v="264328.02"/>
    <n v="266061.50999999995"/>
    <n v="-1733.4899999999325"/>
    <n v="-142.07963007140654"/>
    <n v="-1875.5696300713389"/>
    <n v="0"/>
    <n v="0"/>
    <n v="0"/>
    <n v="-1875.5696300713389"/>
  </r>
  <r>
    <x v="5"/>
    <d v="2023-07-05T00:00:00"/>
    <d v="2023-07-24T00:00:00"/>
    <x v="6"/>
    <n v="9"/>
    <n v="149"/>
    <n v="2687.49"/>
    <n v="2669.98"/>
    <n v="397827.02"/>
    <n v="400436.00999999995"/>
    <n v="-2608.9899999999325"/>
    <n v="-213.83701899635932"/>
    <n v="-2822.8270189962918"/>
    <n v="0"/>
    <n v="0"/>
    <n v="0"/>
    <n v="-2822.8270189962918"/>
  </r>
  <r>
    <x v="6"/>
    <d v="2023-08-03T00:00:00"/>
    <d v="2023-08-24T00:00:00"/>
    <x v="6"/>
    <n v="9"/>
    <n v="148"/>
    <n v="2687.49"/>
    <n v="2669.98"/>
    <n v="395157.04"/>
    <n v="397748.51999999996"/>
    <n v="-2591.4799999999814"/>
    <n v="-212.40187121786025"/>
    <n v="-2803.8818712178418"/>
    <n v="0"/>
    <n v="0"/>
    <n v="0"/>
    <n v="-2803.8818712178418"/>
  </r>
  <r>
    <x v="7"/>
    <d v="2023-09-05T00:00:00"/>
    <d v="2023-09-25T00:00:00"/>
    <x v="6"/>
    <n v="9"/>
    <n v="160"/>
    <n v="2687.49"/>
    <n v="2669.98"/>
    <n v="427196.8"/>
    <n v="429998.39999999997"/>
    <n v="-2801.5999999999767"/>
    <n v="-229.62364455984894"/>
    <n v="-3031.2236445598255"/>
    <n v="0"/>
    <n v="0"/>
    <n v="0"/>
    <n v="-3031.2236445598255"/>
  </r>
  <r>
    <x v="8"/>
    <d v="2023-10-04T00:00:00"/>
    <d v="2023-10-24T00:00:00"/>
    <x v="6"/>
    <n v="9"/>
    <n v="155"/>
    <n v="2687.49"/>
    <n v="2669.98"/>
    <n v="413846.9"/>
    <n v="416560.94999999995"/>
    <n v="-2714.0499999999302"/>
    <n v="-222.44790566735364"/>
    <n v="-2936.4979056672837"/>
    <n v="0"/>
    <n v="0"/>
    <n v="0"/>
    <n v="-2936.4979056672837"/>
  </r>
  <r>
    <x v="9"/>
    <d v="2023-11-03T00:00:00"/>
    <d v="2023-11-24T00:00:00"/>
    <x v="6"/>
    <n v="9"/>
    <n v="110"/>
    <n v="2687.49"/>
    <n v="2669.98"/>
    <n v="293697.8"/>
    <n v="295623.89999999997"/>
    <n v="-1926.0999999999767"/>
    <n v="-157.86625563489616"/>
    <n v="-2083.9662556348731"/>
    <n v="0"/>
    <n v="0"/>
    <n v="0"/>
    <n v="-2083.9662556348731"/>
  </r>
  <r>
    <x v="10"/>
    <d v="2023-12-06T00:00:00"/>
    <d v="2023-12-25T00:00:00"/>
    <x v="6"/>
    <n v="9"/>
    <n v="70"/>
    <n v="2687.49"/>
    <n v="2669.98"/>
    <n v="186898.6"/>
    <n v="188124.3"/>
    <n v="-1225.6999999999825"/>
    <n v="-100.46034449493391"/>
    <n v="-1326.1603444949164"/>
    <n v="0"/>
    <n v="0"/>
    <n v="0"/>
    <n v="-1326.1603444949164"/>
  </r>
  <r>
    <x v="11"/>
    <d v="2024-01-03T00:00:00"/>
    <d v="2024-01-24T00:00:00"/>
    <x v="6"/>
    <n v="9"/>
    <n v="66"/>
    <n v="2687.49"/>
    <n v="2669.98"/>
    <n v="176218.68"/>
    <n v="177374.34"/>
    <n v="-1155.6600000000035"/>
    <n v="-94.719753380937689"/>
    <n v="-1250.3797533809411"/>
    <n v="0"/>
    <n v="0"/>
    <n v="0"/>
    <n v="-1250.3797533809411"/>
  </r>
  <r>
    <x v="0"/>
    <d v="2023-02-03T00:00:00"/>
    <d v="2023-02-24T00:00:00"/>
    <x v="7"/>
    <n v="9"/>
    <n v="63"/>
    <n v="2687.49"/>
    <n v="2669.98"/>
    <n v="168208.74"/>
    <n v="169311.87"/>
    <n v="-1103.1300000000047"/>
    <n v="-90.414310045440516"/>
    <n v="-1193.5443100454452"/>
    <n v="0"/>
    <n v="0"/>
    <n v="0"/>
    <n v="-1193.5443100454452"/>
  </r>
  <r>
    <x v="1"/>
    <d v="2023-03-03T00:00:00"/>
    <d v="2023-03-24T00:00:00"/>
    <x v="7"/>
    <n v="9"/>
    <n v="63"/>
    <n v="2687.49"/>
    <n v="2669.98"/>
    <n v="168208.74"/>
    <n v="169311.87"/>
    <n v="-1103.1300000000047"/>
    <n v="-90.414310045440516"/>
    <n v="-1193.5443100454452"/>
    <n v="0"/>
    <n v="0"/>
    <n v="0"/>
    <n v="-1193.5443100454452"/>
  </r>
  <r>
    <x v="2"/>
    <d v="2023-04-05T00:00:00"/>
    <d v="2023-04-24T00:00:00"/>
    <x v="7"/>
    <n v="9"/>
    <n v="67"/>
    <n v="2687.49"/>
    <n v="2669.98"/>
    <n v="178888.66"/>
    <n v="180061.83"/>
    <n v="-1173.1699999999837"/>
    <n v="-96.154901159436747"/>
    <n v="-1269.3249011594205"/>
    <n v="0"/>
    <n v="0"/>
    <n v="0"/>
    <n v="-1269.3249011594205"/>
  </r>
  <r>
    <x v="3"/>
    <d v="2023-05-03T00:00:00"/>
    <d v="2023-05-24T00:00:00"/>
    <x v="7"/>
    <n v="9"/>
    <n v="62"/>
    <n v="2687.49"/>
    <n v="2669.98"/>
    <n v="165538.76"/>
    <n v="166624.37999999998"/>
    <n v="-1085.6199999999662"/>
    <n v="-88.979162266941458"/>
    <n v="-1174.5991622669078"/>
    <n v="0"/>
    <n v="0"/>
    <n v="0"/>
    <n v="-1174.5991622669078"/>
  </r>
  <r>
    <x v="4"/>
    <d v="2023-06-05T00:00:00"/>
    <d v="2023-06-26T00:00:00"/>
    <x v="7"/>
    <n v="9"/>
    <n v="51"/>
    <n v="2687.49"/>
    <n v="2669.98"/>
    <n v="136168.98000000001"/>
    <n v="137061.99"/>
    <n v="-893.00999999998021"/>
    <n v="-73.192536703451836"/>
    <n v="-966.20253670343209"/>
    <n v="0"/>
    <n v="0"/>
    <n v="0"/>
    <n v="-966.20253670343209"/>
  </r>
  <r>
    <x v="5"/>
    <d v="2023-07-05T00:00:00"/>
    <d v="2023-07-24T00:00:00"/>
    <x v="7"/>
    <n v="9"/>
    <n v="67"/>
    <n v="2687.49"/>
    <n v="2669.98"/>
    <n v="178888.66"/>
    <n v="180061.83"/>
    <n v="-1173.1699999999837"/>
    <n v="-96.154901159436747"/>
    <n v="-1269.3249011594205"/>
    <n v="0"/>
    <n v="0"/>
    <n v="0"/>
    <n v="-1269.3249011594205"/>
  </r>
  <r>
    <x v="6"/>
    <d v="2023-08-03T00:00:00"/>
    <d v="2023-08-24T00:00:00"/>
    <x v="7"/>
    <n v="9"/>
    <n v="66"/>
    <n v="2687.49"/>
    <n v="2669.98"/>
    <n v="176218.68"/>
    <n v="177374.34"/>
    <n v="-1155.6600000000035"/>
    <n v="-94.719753380937689"/>
    <n v="-1250.3797533809411"/>
    <n v="0"/>
    <n v="0"/>
    <n v="0"/>
    <n v="-1250.3797533809411"/>
  </r>
  <r>
    <x v="7"/>
    <d v="2023-09-05T00:00:00"/>
    <d v="2023-09-25T00:00:00"/>
    <x v="7"/>
    <n v="9"/>
    <n v="61"/>
    <n v="2687.49"/>
    <n v="2669.98"/>
    <n v="162868.78"/>
    <n v="163936.88999999998"/>
    <n v="-1068.109999999986"/>
    <n v="-87.5440144884424"/>
    <n v="-1155.6540144884284"/>
    <n v="0"/>
    <n v="0"/>
    <n v="0"/>
    <n v="-1155.6540144884284"/>
  </r>
  <r>
    <x v="8"/>
    <d v="2023-10-04T00:00:00"/>
    <d v="2023-10-24T00:00:00"/>
    <x v="7"/>
    <n v="9"/>
    <n v="55"/>
    <n v="2687.49"/>
    <n v="2669.98"/>
    <n v="146848.9"/>
    <n v="147811.94999999998"/>
    <n v="-963.04999999998836"/>
    <n v="-78.933127817448081"/>
    <n v="-1041.9831278174365"/>
    <n v="0"/>
    <n v="0"/>
    <n v="0"/>
    <n v="-1041.9831278174365"/>
  </r>
  <r>
    <x v="9"/>
    <d v="2023-11-03T00:00:00"/>
    <d v="2023-11-24T00:00:00"/>
    <x v="7"/>
    <n v="9"/>
    <n v="59"/>
    <n v="2687.49"/>
    <n v="2669.98"/>
    <n v="157528.82"/>
    <n v="158561.90999999997"/>
    <n v="-1033.0899999999674"/>
    <n v="-84.673718931444299"/>
    <n v="-1117.7637189314116"/>
    <n v="0"/>
    <n v="0"/>
    <n v="0"/>
    <n v="-1117.7637189314116"/>
  </r>
  <r>
    <x v="10"/>
    <d v="2023-12-06T00:00:00"/>
    <d v="2023-12-25T00:00:00"/>
    <x v="7"/>
    <n v="9"/>
    <n v="63"/>
    <n v="2687.49"/>
    <n v="2669.98"/>
    <n v="168208.74"/>
    <n v="169311.87"/>
    <n v="-1103.1300000000047"/>
    <n v="-90.414310045440516"/>
    <n v="-1193.5443100454452"/>
    <n v="0"/>
    <n v="0"/>
    <n v="0"/>
    <n v="-1193.5443100454452"/>
  </r>
  <r>
    <x v="11"/>
    <d v="2024-01-03T00:00:00"/>
    <d v="2024-01-24T00:00:00"/>
    <x v="7"/>
    <n v="9"/>
    <n v="63"/>
    <n v="2687.49"/>
    <n v="2669.98"/>
    <n v="168208.74"/>
    <n v="169311.87"/>
    <n v="-1103.1300000000047"/>
    <n v="-90.414310045440516"/>
    <n v="-1193.5443100454452"/>
    <n v="0"/>
    <n v="0"/>
    <n v="0"/>
    <n v="-1193.5443100454452"/>
  </r>
  <r>
    <x v="0"/>
    <d v="2023-02-03T00:00:00"/>
    <d v="2023-02-24T00:00:00"/>
    <x v="8"/>
    <n v="9"/>
    <n v="967"/>
    <n v="2687.49"/>
    <n v="2669.98"/>
    <n v="2581870.66"/>
    <n v="2598802.8299999996"/>
    <n v="-16932.16999999946"/>
    <n v="-1387.7879018085871"/>
    <n v="-18319.957901808048"/>
    <n v="0"/>
    <n v="0"/>
    <n v="0"/>
    <n v="-18319.957901808048"/>
  </r>
  <r>
    <x v="1"/>
    <d v="2023-03-03T00:00:00"/>
    <d v="2023-03-24T00:00:00"/>
    <x v="8"/>
    <n v="9"/>
    <n v="955"/>
    <n v="2687.49"/>
    <n v="2669.98"/>
    <n v="2549830.9"/>
    <n v="2566552.9499999997"/>
    <n v="-16722.049999999814"/>
    <n v="-1370.5661284665985"/>
    <n v="-18092.616128466412"/>
    <n v="0"/>
    <n v="0"/>
    <n v="0"/>
    <n v="-18092.616128466412"/>
  </r>
  <r>
    <x v="2"/>
    <d v="2023-04-05T00:00:00"/>
    <d v="2023-04-24T00:00:00"/>
    <x v="8"/>
    <n v="9"/>
    <n v="872"/>
    <n v="2687.49"/>
    <n v="2669.98"/>
    <n v="2328222.56"/>
    <n v="2343491.2799999998"/>
    <n v="-15268.719999999739"/>
    <n v="-1251.4488628511767"/>
    <n v="-16520.168862850915"/>
    <n v="0"/>
    <n v="0"/>
    <n v="0"/>
    <n v="-16520.168862850915"/>
  </r>
  <r>
    <x v="3"/>
    <d v="2023-05-03T00:00:00"/>
    <d v="2023-05-24T00:00:00"/>
    <x v="8"/>
    <n v="9"/>
    <n v="602"/>
    <n v="2687.49"/>
    <n v="2669.98"/>
    <n v="1607327.96"/>
    <n v="1617868.98"/>
    <n v="-10541.020000000019"/>
    <n v="-863.95896265643159"/>
    <n v="-11404.978962656451"/>
    <n v="0"/>
    <n v="0"/>
    <n v="0"/>
    <n v="-11404.978962656451"/>
  </r>
  <r>
    <x v="4"/>
    <d v="2023-06-05T00:00:00"/>
    <d v="2023-06-26T00:00:00"/>
    <x v="8"/>
    <n v="9"/>
    <n v="711"/>
    <n v="2687.49"/>
    <n v="2669.98"/>
    <n v="1898355.78"/>
    <n v="1910805.39"/>
    <n v="-12449.60999999987"/>
    <n v="-1020.3900705128286"/>
    <n v="-13470.000070512699"/>
    <n v="0"/>
    <n v="0"/>
    <n v="0"/>
    <n v="-13470.000070512699"/>
  </r>
  <r>
    <x v="5"/>
    <d v="2023-07-05T00:00:00"/>
    <d v="2023-07-24T00:00:00"/>
    <x v="8"/>
    <n v="9"/>
    <n v="936"/>
    <n v="2687.49"/>
    <n v="2669.98"/>
    <n v="2499101.2799999998"/>
    <n v="2515490.6399999997"/>
    <n v="-16389.35999999987"/>
    <n v="-1343.2983206751164"/>
    <n v="-17732.658320674986"/>
    <n v="0"/>
    <n v="0"/>
    <n v="0"/>
    <n v="-17732.658320674986"/>
  </r>
  <r>
    <x v="6"/>
    <d v="2023-08-03T00:00:00"/>
    <d v="2023-08-24T00:00:00"/>
    <x v="8"/>
    <n v="9"/>
    <n v="932"/>
    <n v="2687.49"/>
    <n v="2669.98"/>
    <n v="2488421.36"/>
    <n v="2504740.6799999997"/>
    <n v="-16319.319999999832"/>
    <n v="-1337.5577295611201"/>
    <n v="-17656.877729560954"/>
    <n v="0"/>
    <n v="0"/>
    <n v="0"/>
    <n v="-17656.877729560954"/>
  </r>
  <r>
    <x v="7"/>
    <d v="2023-09-05T00:00:00"/>
    <d v="2023-09-25T00:00:00"/>
    <x v="8"/>
    <n v="9"/>
    <n v="1025"/>
    <n v="2687.49"/>
    <n v="2669.98"/>
    <n v="2736729.5"/>
    <n v="2754677.25"/>
    <n v="-17947.75"/>
    <n v="-1471.0264729615321"/>
    <n v="-19418.776472961534"/>
    <n v="0"/>
    <n v="0"/>
    <n v="0"/>
    <n v="-19418.776472961534"/>
  </r>
  <r>
    <x v="8"/>
    <d v="2023-10-04T00:00:00"/>
    <d v="2023-10-24T00:00:00"/>
    <x v="8"/>
    <n v="9"/>
    <n v="934"/>
    <n v="2687.49"/>
    <n v="2669.98"/>
    <n v="2493761.3199999998"/>
    <n v="2510115.6599999997"/>
    <n v="-16354.339999999851"/>
    <n v="-1340.4280251181181"/>
    <n v="-17694.76802511797"/>
    <n v="0"/>
    <n v="0"/>
    <n v="0"/>
    <n v="-17694.76802511797"/>
  </r>
  <r>
    <x v="9"/>
    <d v="2023-11-03T00:00:00"/>
    <d v="2023-11-24T00:00:00"/>
    <x v="8"/>
    <n v="9"/>
    <n v="700"/>
    <n v="2687.49"/>
    <n v="2669.98"/>
    <n v="1868986"/>
    <n v="1881242.9999999998"/>
    <n v="-12256.999999999767"/>
    <n v="-1004.6034449493391"/>
    <n v="-13261.603444949105"/>
    <n v="0"/>
    <n v="0"/>
    <n v="0"/>
    <n v="-13261.603444949105"/>
  </r>
  <r>
    <x v="10"/>
    <d v="2023-12-06T00:00:00"/>
    <d v="2023-12-25T00:00:00"/>
    <x v="8"/>
    <n v="9"/>
    <n v="867"/>
    <n v="2687.49"/>
    <n v="2669.98"/>
    <n v="2314872.66"/>
    <n v="2330053.8299999996"/>
    <n v="-15181.16999999946"/>
    <n v="-1244.2731239586815"/>
    <n v="-16425.443123958143"/>
    <n v="0"/>
    <n v="0"/>
    <n v="0"/>
    <n v="-16425.443123958143"/>
  </r>
  <r>
    <x v="11"/>
    <d v="2024-01-03T00:00:00"/>
    <d v="2024-01-24T00:00:00"/>
    <x v="8"/>
    <n v="9"/>
    <n v="916"/>
    <n v="2687.49"/>
    <n v="2669.98"/>
    <n v="2445701.6800000002"/>
    <n v="2461740.84"/>
    <n v="-16039.159999999683"/>
    <n v="-1314.5953651051352"/>
    <n v="-17353.755365104818"/>
    <n v="0"/>
    <n v="0"/>
    <n v="0"/>
    <n v="-17353.755365104818"/>
  </r>
  <r>
    <x v="0"/>
    <d v="2023-02-03T00:00:00"/>
    <d v="2023-02-24T00:00:00"/>
    <x v="9"/>
    <n v="9"/>
    <n v="6"/>
    <n v="2687.49"/>
    <n v="2669.98"/>
    <n v="16019.880000000001"/>
    <n v="16124.939999999999"/>
    <n v="-105.05999999999767"/>
    <n v="-8.6108866709943346"/>
    <n v="-113.670886670992"/>
    <n v="0"/>
    <n v="0"/>
    <n v="0"/>
    <n v="-113.670886670992"/>
  </r>
  <r>
    <x v="1"/>
    <d v="2023-03-03T00:00:00"/>
    <d v="2023-03-24T00:00:00"/>
    <x v="9"/>
    <n v="9"/>
    <n v="5"/>
    <n v="2687.49"/>
    <n v="2669.98"/>
    <n v="13349.9"/>
    <n v="13437.449999999999"/>
    <n v="-87.549999999999272"/>
    <n v="-7.1757388924952794"/>
    <n v="-94.725738892494547"/>
    <n v="0"/>
    <n v="0"/>
    <n v="0"/>
    <n v="-94.725738892494547"/>
  </r>
  <r>
    <x v="2"/>
    <d v="2023-04-05T00:00:00"/>
    <d v="2023-04-24T00:00:00"/>
    <x v="9"/>
    <n v="9"/>
    <n v="5"/>
    <n v="2687.49"/>
    <n v="2669.98"/>
    <n v="13349.9"/>
    <n v="13437.449999999999"/>
    <n v="-87.549999999999272"/>
    <n v="-7.1757388924952794"/>
    <n v="-94.725738892494547"/>
    <n v="0"/>
    <n v="0"/>
    <n v="0"/>
    <n v="-94.725738892494547"/>
  </r>
  <r>
    <x v="3"/>
    <d v="2023-05-03T00:00:00"/>
    <d v="2023-05-24T00:00:00"/>
    <x v="9"/>
    <n v="9"/>
    <n v="7"/>
    <n v="2687.49"/>
    <n v="2669.98"/>
    <n v="18689.86"/>
    <n v="18812.43"/>
    <n v="-122.56999999999971"/>
    <n v="-10.046034449493391"/>
    <n v="-132.6160344494931"/>
    <n v="0"/>
    <n v="0"/>
    <n v="0"/>
    <n v="-132.6160344494931"/>
  </r>
  <r>
    <x v="4"/>
    <d v="2023-06-05T00:00:00"/>
    <d v="2023-06-26T00:00:00"/>
    <x v="9"/>
    <n v="9"/>
    <n v="4"/>
    <n v="2687.49"/>
    <n v="2669.98"/>
    <n v="10679.92"/>
    <n v="10749.96"/>
    <n v="-70.039999999999054"/>
    <n v="-5.7405911139962225"/>
    <n v="-75.780591113995271"/>
    <n v="0"/>
    <n v="0"/>
    <n v="0"/>
    <n v="-75.780591113995271"/>
  </r>
  <r>
    <x v="5"/>
    <d v="2023-07-05T00:00:00"/>
    <d v="2023-07-24T00:00:00"/>
    <x v="9"/>
    <n v="9"/>
    <n v="14"/>
    <n v="2687.49"/>
    <n v="2669.98"/>
    <n v="37379.72"/>
    <n v="37624.86"/>
    <n v="-245.13999999999942"/>
    <n v="-20.092068898986781"/>
    <n v="-265.2320688989862"/>
    <n v="0"/>
    <n v="0"/>
    <n v="0"/>
    <n v="-265.2320688989862"/>
  </r>
  <r>
    <x v="6"/>
    <d v="2023-08-03T00:00:00"/>
    <d v="2023-08-24T00:00:00"/>
    <x v="9"/>
    <n v="9"/>
    <n v="13"/>
    <n v="2687.49"/>
    <n v="2669.98"/>
    <n v="34709.74"/>
    <n v="34937.369999999995"/>
    <n v="-227.62999999999738"/>
    <n v="-18.656921120487723"/>
    <n v="-246.28692112048509"/>
    <n v="0"/>
    <n v="0"/>
    <n v="0"/>
    <n v="-246.28692112048509"/>
  </r>
  <r>
    <x v="7"/>
    <d v="2023-09-05T00:00:00"/>
    <d v="2023-09-25T00:00:00"/>
    <x v="9"/>
    <n v="9"/>
    <n v="19"/>
    <n v="2687.49"/>
    <n v="2669.98"/>
    <n v="50729.62"/>
    <n v="51062.31"/>
    <n v="-332.68999999999505"/>
    <n v="-27.267807791482063"/>
    <n v="-359.95780779147714"/>
    <n v="0"/>
    <n v="0"/>
    <n v="0"/>
    <n v="-359.95780779147714"/>
  </r>
  <r>
    <x v="8"/>
    <d v="2023-10-04T00:00:00"/>
    <d v="2023-10-24T00:00:00"/>
    <x v="9"/>
    <n v="9"/>
    <n v="18"/>
    <n v="2687.49"/>
    <n v="2669.98"/>
    <n v="48059.64"/>
    <n v="48374.819999999992"/>
    <n v="-315.17999999999302"/>
    <n v="-25.832660012983006"/>
    <n v="-341.01266001297603"/>
    <n v="0"/>
    <n v="0"/>
    <n v="0"/>
    <n v="-341.01266001297603"/>
  </r>
  <r>
    <x v="9"/>
    <d v="2023-11-03T00:00:00"/>
    <d v="2023-11-24T00:00:00"/>
    <x v="9"/>
    <n v="9"/>
    <n v="6"/>
    <n v="2687.49"/>
    <n v="2669.98"/>
    <n v="16019.880000000001"/>
    <n v="16124.939999999999"/>
    <n v="-105.05999999999767"/>
    <n v="-8.6108866709943346"/>
    <n v="-113.670886670992"/>
    <n v="0"/>
    <n v="0"/>
    <n v="0"/>
    <n v="-113.670886670992"/>
  </r>
  <r>
    <x v="10"/>
    <d v="2023-12-06T00:00:00"/>
    <d v="2023-12-25T00:00:00"/>
    <x v="9"/>
    <n v="9"/>
    <n v="6"/>
    <n v="2687.49"/>
    <n v="2669.98"/>
    <n v="16019.880000000001"/>
    <n v="16124.939999999999"/>
    <n v="-105.05999999999767"/>
    <n v="-8.6108866709943346"/>
    <n v="-113.670886670992"/>
    <n v="0"/>
    <n v="0"/>
    <n v="0"/>
    <n v="-113.670886670992"/>
  </r>
  <r>
    <x v="11"/>
    <d v="2024-01-03T00:00:00"/>
    <d v="2024-01-24T00:00:00"/>
    <x v="9"/>
    <n v="9"/>
    <n v="5"/>
    <n v="2687.49"/>
    <n v="2669.98"/>
    <n v="13349.9"/>
    <n v="13437.449999999999"/>
    <n v="-87.549999999999272"/>
    <n v="-7.1757388924952794"/>
    <n v="-94.725738892494547"/>
    <n v="0"/>
    <n v="0"/>
    <n v="0"/>
    <n v="-94.725738892494547"/>
  </r>
  <r>
    <x v="0"/>
    <d v="2023-02-03T00:00:00"/>
    <d v="2023-02-24T00:00:00"/>
    <x v="10"/>
    <n v="9"/>
    <n v="4"/>
    <n v="2687.49"/>
    <n v="2669.98"/>
    <n v="10679.92"/>
    <n v="10749.96"/>
    <n v="-70.039999999999054"/>
    <n v="-5.7405911139962225"/>
    <n v="-75.780591113995271"/>
    <n v="0"/>
    <n v="0"/>
    <n v="0"/>
    <n v="-75.780591113995271"/>
  </r>
  <r>
    <x v="1"/>
    <d v="2023-03-03T00:00:00"/>
    <d v="2023-03-24T00:00:00"/>
    <x v="10"/>
    <n v="9"/>
    <n v="5"/>
    <n v="2687.49"/>
    <n v="2669.98"/>
    <n v="13349.9"/>
    <n v="13437.449999999999"/>
    <n v="-87.549999999999272"/>
    <n v="-7.1757388924952794"/>
    <n v="-94.725738892494547"/>
    <n v="0"/>
    <n v="0"/>
    <n v="0"/>
    <n v="-94.725738892494547"/>
  </r>
  <r>
    <x v="2"/>
    <d v="2023-04-05T00:00:00"/>
    <d v="2023-04-24T00:00:00"/>
    <x v="10"/>
    <n v="9"/>
    <n v="1"/>
    <n v="2687.49"/>
    <n v="2669.98"/>
    <n v="2669.98"/>
    <n v="2687.49"/>
    <n v="-17.509999999999764"/>
    <n v="-1.4351477784990556"/>
    <n v="-18.945147778498818"/>
    <n v="0"/>
    <n v="0"/>
    <n v="0"/>
    <n v="-18.945147778498818"/>
  </r>
  <r>
    <x v="3"/>
    <d v="2023-05-03T00:00:00"/>
    <d v="2023-05-24T00:00:00"/>
    <x v="10"/>
    <n v="9"/>
    <n v="7"/>
    <n v="2687.49"/>
    <n v="2669.98"/>
    <n v="18689.86"/>
    <n v="18812.43"/>
    <n v="-122.56999999999971"/>
    <n v="-10.046034449493391"/>
    <n v="-132.6160344494931"/>
    <n v="0"/>
    <n v="0"/>
    <n v="0"/>
    <n v="-132.6160344494931"/>
  </r>
  <r>
    <x v="4"/>
    <d v="2023-06-05T00:00:00"/>
    <d v="2023-06-26T00:00:00"/>
    <x v="10"/>
    <n v="9"/>
    <n v="3"/>
    <n v="2687.49"/>
    <n v="2669.98"/>
    <n v="8009.9400000000005"/>
    <n v="8062.4699999999993"/>
    <n v="-52.529999999998836"/>
    <n v="-4.3054433354971673"/>
    <n v="-56.835443335496002"/>
    <n v="0"/>
    <n v="0"/>
    <n v="0"/>
    <n v="-56.835443335496002"/>
  </r>
  <r>
    <x v="5"/>
    <d v="2023-07-05T00:00:00"/>
    <d v="2023-07-24T00:00:00"/>
    <x v="10"/>
    <n v="9"/>
    <n v="7"/>
    <n v="2687.49"/>
    <n v="2669.98"/>
    <n v="18689.86"/>
    <n v="18812.43"/>
    <n v="-122.56999999999971"/>
    <n v="-10.046034449493391"/>
    <n v="-132.6160344494931"/>
    <n v="0"/>
    <n v="0"/>
    <n v="0"/>
    <n v="-132.6160344494931"/>
  </r>
  <r>
    <x v="6"/>
    <d v="2023-08-03T00:00:00"/>
    <d v="2023-08-24T00:00:00"/>
    <x v="10"/>
    <n v="9"/>
    <n v="5"/>
    <n v="2687.49"/>
    <n v="2669.98"/>
    <n v="13349.9"/>
    <n v="13437.449999999999"/>
    <n v="-87.549999999999272"/>
    <n v="-7.1757388924952794"/>
    <n v="-94.725738892494547"/>
    <n v="0"/>
    <n v="0"/>
    <n v="0"/>
    <n v="-94.725738892494547"/>
  </r>
  <r>
    <x v="7"/>
    <d v="2023-09-05T00:00:00"/>
    <d v="2023-09-25T00:00:00"/>
    <x v="10"/>
    <n v="9"/>
    <n v="5"/>
    <n v="2687.49"/>
    <n v="2669.98"/>
    <n v="13349.9"/>
    <n v="13437.449999999999"/>
    <n v="-87.549999999999272"/>
    <n v="-7.1757388924952794"/>
    <n v="-94.725738892494547"/>
    <n v="0"/>
    <n v="0"/>
    <n v="0"/>
    <n v="-94.725738892494547"/>
  </r>
  <r>
    <x v="8"/>
    <d v="2023-10-04T00:00:00"/>
    <d v="2023-10-24T00:00:00"/>
    <x v="10"/>
    <n v="9"/>
    <n v="6"/>
    <n v="2687.49"/>
    <n v="2669.98"/>
    <n v="16019.880000000001"/>
    <n v="16124.939999999999"/>
    <n v="-105.05999999999767"/>
    <n v="-8.6108866709943346"/>
    <n v="-113.670886670992"/>
    <n v="0"/>
    <n v="0"/>
    <n v="0"/>
    <n v="-113.670886670992"/>
  </r>
  <r>
    <x v="9"/>
    <d v="2023-11-03T00:00:00"/>
    <d v="2023-11-24T00:00:00"/>
    <x v="10"/>
    <n v="9"/>
    <n v="5"/>
    <n v="2687.49"/>
    <n v="2669.98"/>
    <n v="13349.9"/>
    <n v="13437.449999999999"/>
    <n v="-87.549999999999272"/>
    <n v="-7.1757388924952794"/>
    <n v="-94.725738892494547"/>
    <n v="0"/>
    <n v="0"/>
    <n v="0"/>
    <n v="-94.725738892494547"/>
  </r>
  <r>
    <x v="10"/>
    <d v="2023-12-06T00:00:00"/>
    <d v="2023-12-25T00:00:00"/>
    <x v="10"/>
    <n v="9"/>
    <n v="4"/>
    <n v="2687.49"/>
    <n v="2669.98"/>
    <n v="10679.92"/>
    <n v="10749.96"/>
    <n v="-70.039999999999054"/>
    <n v="-5.7405911139962225"/>
    <n v="-75.780591113995271"/>
    <n v="0"/>
    <n v="0"/>
    <n v="0"/>
    <n v="-75.780591113995271"/>
  </r>
  <r>
    <x v="11"/>
    <d v="2024-01-03T00:00:00"/>
    <d v="2024-01-24T00:00:00"/>
    <x v="10"/>
    <n v="9"/>
    <n v="4"/>
    <n v="2687.49"/>
    <n v="2669.98"/>
    <n v="10679.92"/>
    <n v="10749.96"/>
    <n v="-70.039999999999054"/>
    <n v="-5.7405911139962225"/>
    <n v="-75.780591113995271"/>
    <n v="0"/>
    <n v="0"/>
    <n v="0"/>
    <n v="-75.780591113995271"/>
  </r>
  <r>
    <x v="0"/>
    <d v="2023-02-03T00:00:00"/>
    <d v="2023-02-24T00:00:00"/>
    <x v="11"/>
    <n v="9"/>
    <n v="113"/>
    <n v="2687.49"/>
    <n v="2669.98"/>
    <n v="301707.74"/>
    <n v="303686.37"/>
    <n v="-1978.6300000000047"/>
    <n v="-162.17169897039329"/>
    <n v="-2140.8016989703979"/>
    <n v="0"/>
    <n v="0"/>
    <n v="0"/>
    <n v="-2140.8016989703979"/>
  </r>
  <r>
    <x v="1"/>
    <d v="2023-03-03T00:00:00"/>
    <d v="2023-03-24T00:00:00"/>
    <x v="11"/>
    <n v="9"/>
    <n v="108"/>
    <n v="2687.49"/>
    <n v="2669.98"/>
    <n v="288357.84000000003"/>
    <n v="290248.92"/>
    <n v="-1891.0799999999581"/>
    <n v="-154.99596007789805"/>
    <n v="-2046.0759600778561"/>
    <n v="0"/>
    <n v="0"/>
    <n v="0"/>
    <n v="-2046.0759600778561"/>
  </r>
  <r>
    <x v="2"/>
    <d v="2023-04-05T00:00:00"/>
    <d v="2023-04-24T00:00:00"/>
    <x v="11"/>
    <n v="9"/>
    <n v="96"/>
    <n v="2687.49"/>
    <n v="2669.98"/>
    <n v="256318.08000000002"/>
    <n v="257999.03999999998"/>
    <n v="-1680.9599999999627"/>
    <n v="-137.77418673590935"/>
    <n v="-1818.7341867358721"/>
    <n v="0"/>
    <n v="0"/>
    <n v="0"/>
    <n v="-1818.7341867358721"/>
  </r>
  <r>
    <x v="3"/>
    <d v="2023-05-03T00:00:00"/>
    <d v="2023-05-24T00:00:00"/>
    <x v="11"/>
    <n v="9"/>
    <n v="91"/>
    <n v="2687.49"/>
    <n v="2669.98"/>
    <n v="242968.18"/>
    <n v="244561.58999999997"/>
    <n v="-1593.4099999999744"/>
    <n v="-130.59844784341408"/>
    <n v="-1724.0084478433885"/>
    <n v="0"/>
    <n v="0"/>
    <n v="0"/>
    <n v="-1724.0084478433885"/>
  </r>
  <r>
    <x v="4"/>
    <d v="2023-06-05T00:00:00"/>
    <d v="2023-06-26T00:00:00"/>
    <x v="11"/>
    <n v="9"/>
    <n v="125"/>
    <n v="2687.49"/>
    <n v="2669.98"/>
    <n v="333747.5"/>
    <n v="335936.25"/>
    <n v="-2188.75"/>
    <n v="-179.39347231238199"/>
    <n v="-2368.1434723123821"/>
    <n v="0"/>
    <n v="0"/>
    <n v="0"/>
    <n v="-2368.1434723123821"/>
  </r>
  <r>
    <x v="5"/>
    <d v="2023-07-05T00:00:00"/>
    <d v="2023-07-24T00:00:00"/>
    <x v="11"/>
    <n v="9"/>
    <n v="167"/>
    <n v="2687.49"/>
    <n v="2669.98"/>
    <n v="445886.66"/>
    <n v="448810.82999999996"/>
    <n v="-2924.1699999999837"/>
    <n v="-239.66967900934233"/>
    <n v="-3163.8396790093261"/>
    <n v="0"/>
    <n v="0"/>
    <n v="0"/>
    <n v="-3163.8396790093261"/>
  </r>
  <r>
    <x v="6"/>
    <d v="2023-08-03T00:00:00"/>
    <d v="2023-08-24T00:00:00"/>
    <x v="11"/>
    <n v="9"/>
    <n v="160"/>
    <n v="2687.49"/>
    <n v="2669.98"/>
    <n v="427196.8"/>
    <n v="429998.39999999997"/>
    <n v="-2801.5999999999767"/>
    <n v="-229.62364455984894"/>
    <n v="-3031.2236445598255"/>
    <n v="0"/>
    <n v="0"/>
    <n v="0"/>
    <n v="-3031.2236445598255"/>
  </r>
  <r>
    <x v="7"/>
    <d v="2023-09-05T00:00:00"/>
    <d v="2023-09-25T00:00:00"/>
    <x v="11"/>
    <n v="9"/>
    <n v="181"/>
    <n v="2687.49"/>
    <n v="2669.98"/>
    <n v="483266.38"/>
    <n v="486435.68999999994"/>
    <n v="-3169.3099999999395"/>
    <n v="-259.76174790832908"/>
    <n v="-3429.0717479082687"/>
    <n v="0"/>
    <n v="0"/>
    <n v="0"/>
    <n v="-3429.0717479082687"/>
  </r>
  <r>
    <x v="8"/>
    <d v="2023-10-04T00:00:00"/>
    <d v="2023-10-24T00:00:00"/>
    <x v="11"/>
    <n v="9"/>
    <n v="157"/>
    <n v="2687.49"/>
    <n v="2669.98"/>
    <n v="419186.86"/>
    <n v="421935.93"/>
    <n v="-2749.070000000007"/>
    <n v="-225.31820122435175"/>
    <n v="-2974.3882012243589"/>
    <n v="0"/>
    <n v="0"/>
    <n v="0"/>
    <n v="-2974.3882012243589"/>
  </r>
  <r>
    <x v="9"/>
    <d v="2023-11-03T00:00:00"/>
    <d v="2023-11-24T00:00:00"/>
    <x v="11"/>
    <n v="9"/>
    <n v="118"/>
    <n v="2687.49"/>
    <n v="2669.98"/>
    <n v="315057.64"/>
    <n v="317123.81999999995"/>
    <n v="-2066.1799999999348"/>
    <n v="-169.3474378628886"/>
    <n v="-2235.5274378628233"/>
    <n v="0"/>
    <n v="0"/>
    <n v="0"/>
    <n v="-2235.5274378628233"/>
  </r>
  <r>
    <x v="10"/>
    <d v="2023-12-06T00:00:00"/>
    <d v="2023-12-25T00:00:00"/>
    <x v="11"/>
    <n v="9"/>
    <n v="102"/>
    <n v="2687.49"/>
    <n v="2669.98"/>
    <n v="272337.96000000002"/>
    <n v="274123.98"/>
    <n v="-1786.0199999999604"/>
    <n v="-146.38507340690367"/>
    <n v="-1932.4050734068642"/>
    <n v="0"/>
    <n v="0"/>
    <n v="0"/>
    <n v="-1932.4050734068642"/>
  </r>
  <r>
    <x v="11"/>
    <d v="2024-01-03T00:00:00"/>
    <d v="2024-01-24T00:00:00"/>
    <x v="11"/>
    <n v="9"/>
    <n v="99"/>
    <n v="2687.49"/>
    <n v="2669.98"/>
    <n v="264328.02"/>
    <n v="266061.50999999995"/>
    <n v="-1733.4899999999325"/>
    <n v="-142.07963007140654"/>
    <n v="-1875.5696300713389"/>
    <n v="0"/>
    <n v="0"/>
    <n v="0"/>
    <n v="-1875.5696300713389"/>
  </r>
  <r>
    <x v="0"/>
    <d v="2023-02-03T00:00:00"/>
    <d v="2023-02-24T00:00:00"/>
    <x v="12"/>
    <n v="9"/>
    <n v="7"/>
    <n v="2687.49"/>
    <n v="2669.98"/>
    <n v="18689.86"/>
    <n v="18812.43"/>
    <n v="-122.56999999999971"/>
    <n v="-10.046034449493391"/>
    <n v="-132.6160344494931"/>
    <n v="0"/>
    <n v="0"/>
    <n v="0"/>
    <n v="-132.6160344494931"/>
  </r>
  <r>
    <x v="1"/>
    <d v="2023-03-03T00:00:00"/>
    <d v="2023-03-24T00:00:00"/>
    <x v="12"/>
    <n v="9"/>
    <n v="10"/>
    <n v="2687.49"/>
    <n v="2669.98"/>
    <n v="26699.8"/>
    <n v="26874.899999999998"/>
    <n v="-175.09999999999854"/>
    <n v="-14.351477784990559"/>
    <n v="-189.45147778498909"/>
    <n v="0"/>
    <n v="0"/>
    <n v="0"/>
    <n v="-189.45147778498909"/>
  </r>
  <r>
    <x v="2"/>
    <d v="2023-04-05T00:00:00"/>
    <d v="2023-04-24T00:00:00"/>
    <x v="12"/>
    <n v="9"/>
    <n v="8"/>
    <n v="2687.49"/>
    <n v="2669.98"/>
    <n v="21359.84"/>
    <n v="21499.919999999998"/>
    <n v="-140.07999999999811"/>
    <n v="-11.481182227992445"/>
    <n v="-151.56118222799054"/>
    <n v="0"/>
    <n v="0"/>
    <n v="0"/>
    <n v="-151.56118222799054"/>
  </r>
  <r>
    <x v="3"/>
    <d v="2023-05-03T00:00:00"/>
    <d v="2023-05-24T00:00:00"/>
    <x v="12"/>
    <n v="9"/>
    <n v="8"/>
    <n v="2687.49"/>
    <n v="2669.98"/>
    <n v="21359.84"/>
    <n v="21499.919999999998"/>
    <n v="-140.07999999999811"/>
    <n v="-11.481182227992445"/>
    <n v="-151.56118222799054"/>
    <n v="0"/>
    <n v="0"/>
    <n v="0"/>
    <n v="-151.56118222799054"/>
  </r>
  <r>
    <x v="4"/>
    <d v="2023-06-05T00:00:00"/>
    <d v="2023-06-26T00:00:00"/>
    <x v="12"/>
    <n v="9"/>
    <n v="10"/>
    <n v="2687.49"/>
    <n v="2669.98"/>
    <n v="26699.8"/>
    <n v="26874.899999999998"/>
    <n v="-175.09999999999854"/>
    <n v="-14.351477784990559"/>
    <n v="-189.45147778498909"/>
    <n v="0"/>
    <n v="0"/>
    <n v="0"/>
    <n v="-189.45147778498909"/>
  </r>
  <r>
    <x v="5"/>
    <d v="2023-07-05T00:00:00"/>
    <d v="2023-07-24T00:00:00"/>
    <x v="12"/>
    <n v="9"/>
    <n v="12"/>
    <n v="2687.49"/>
    <n v="2669.98"/>
    <n v="32039.760000000002"/>
    <n v="32249.879999999997"/>
    <n v="-210.11999999999534"/>
    <n v="-17.221773341988669"/>
    <n v="-227.34177334198401"/>
    <n v="0"/>
    <n v="0"/>
    <n v="0"/>
    <n v="-227.34177334198401"/>
  </r>
  <r>
    <x v="6"/>
    <d v="2023-08-03T00:00:00"/>
    <d v="2023-08-24T00:00:00"/>
    <x v="12"/>
    <n v="9"/>
    <n v="14"/>
    <n v="2687.49"/>
    <n v="2669.98"/>
    <n v="37379.72"/>
    <n v="37624.86"/>
    <n v="-245.13999999999942"/>
    <n v="-20.092068898986781"/>
    <n v="-265.2320688989862"/>
    <n v="0"/>
    <n v="0"/>
    <n v="0"/>
    <n v="-265.2320688989862"/>
  </r>
  <r>
    <x v="7"/>
    <d v="2023-09-05T00:00:00"/>
    <d v="2023-09-25T00:00:00"/>
    <x v="12"/>
    <n v="9"/>
    <n v="13"/>
    <n v="2687.49"/>
    <n v="2669.98"/>
    <n v="34709.74"/>
    <n v="34937.369999999995"/>
    <n v="-227.62999999999738"/>
    <n v="-18.656921120487723"/>
    <n v="-246.28692112048509"/>
    <n v="0"/>
    <n v="0"/>
    <n v="0"/>
    <n v="-246.28692112048509"/>
  </r>
  <r>
    <x v="8"/>
    <d v="2023-10-04T00:00:00"/>
    <d v="2023-10-24T00:00:00"/>
    <x v="12"/>
    <n v="9"/>
    <n v="13"/>
    <n v="2687.49"/>
    <n v="2669.98"/>
    <n v="34709.74"/>
    <n v="34937.369999999995"/>
    <n v="-227.62999999999738"/>
    <n v="-18.656921120487723"/>
    <n v="-246.28692112048509"/>
    <n v="0"/>
    <n v="0"/>
    <n v="0"/>
    <n v="-246.28692112048509"/>
  </r>
  <r>
    <x v="9"/>
    <d v="2023-11-03T00:00:00"/>
    <d v="2023-11-24T00:00:00"/>
    <x v="12"/>
    <n v="9"/>
    <n v="11"/>
    <n v="2687.49"/>
    <n v="2669.98"/>
    <n v="29369.78"/>
    <n v="29562.39"/>
    <n v="-192.61000000000058"/>
    <n v="-15.786625563489615"/>
    <n v="-208.3966255634902"/>
    <n v="0"/>
    <n v="0"/>
    <n v="0"/>
    <n v="-208.3966255634902"/>
  </r>
  <r>
    <x v="10"/>
    <d v="2023-12-06T00:00:00"/>
    <d v="2023-12-25T00:00:00"/>
    <x v="12"/>
    <n v="9"/>
    <n v="7"/>
    <n v="2687.49"/>
    <n v="2669.98"/>
    <n v="18689.86"/>
    <n v="18812.43"/>
    <n v="-122.56999999999971"/>
    <n v="-10.046034449493391"/>
    <n v="-132.6160344494931"/>
    <n v="0"/>
    <n v="0"/>
    <n v="0"/>
    <n v="-132.6160344494931"/>
  </r>
  <r>
    <x v="11"/>
    <d v="2024-01-03T00:00:00"/>
    <d v="2024-01-24T00:00:00"/>
    <x v="12"/>
    <n v="9"/>
    <n v="8"/>
    <n v="2687.49"/>
    <n v="2669.98"/>
    <n v="21359.84"/>
    <n v="21499.919999999998"/>
    <n v="-140.07999999999811"/>
    <n v="-11.481182227992445"/>
    <n v="-151.56118222799054"/>
    <n v="0"/>
    <n v="0"/>
    <n v="0"/>
    <n v="-151.56118222799054"/>
  </r>
  <r>
    <x v="0"/>
    <d v="2023-02-03T00:00:00"/>
    <d v="2023-02-24T00:00:00"/>
    <x v="13"/>
    <n v="9"/>
    <n v="21"/>
    <n v="2687.49"/>
    <n v="2669.98"/>
    <n v="56069.58"/>
    <n v="56437.289999999994"/>
    <n v="-367.70999999999185"/>
    <n v="-30.138103348480172"/>
    <n v="-397.84810334847202"/>
    <n v="0"/>
    <n v="0"/>
    <n v="0"/>
    <n v="-397.84810334847202"/>
  </r>
  <r>
    <x v="1"/>
    <d v="2023-03-03T00:00:00"/>
    <d v="2023-03-24T00:00:00"/>
    <x v="13"/>
    <n v="9"/>
    <n v="21"/>
    <n v="2687.49"/>
    <n v="2669.98"/>
    <n v="56069.58"/>
    <n v="56437.289999999994"/>
    <n v="-367.70999999999185"/>
    <n v="-30.138103348480172"/>
    <n v="-397.84810334847202"/>
    <n v="0"/>
    <n v="0"/>
    <n v="0"/>
    <n v="-397.84810334847202"/>
  </r>
  <r>
    <x v="2"/>
    <d v="2023-04-05T00:00:00"/>
    <d v="2023-04-24T00:00:00"/>
    <x v="13"/>
    <n v="9"/>
    <n v="19"/>
    <n v="2687.49"/>
    <n v="2669.98"/>
    <n v="50729.62"/>
    <n v="51062.31"/>
    <n v="-332.68999999999505"/>
    <n v="-27.267807791482063"/>
    <n v="-359.95780779147714"/>
    <n v="0"/>
    <n v="0"/>
    <n v="0"/>
    <n v="-359.95780779147714"/>
  </r>
  <r>
    <x v="3"/>
    <d v="2023-05-03T00:00:00"/>
    <d v="2023-05-24T00:00:00"/>
    <x v="13"/>
    <n v="9"/>
    <n v="21"/>
    <n v="2687.49"/>
    <n v="2669.98"/>
    <n v="56069.58"/>
    <n v="56437.289999999994"/>
    <n v="-367.70999999999185"/>
    <n v="-30.138103348480172"/>
    <n v="-397.84810334847202"/>
    <n v="0"/>
    <n v="0"/>
    <n v="0"/>
    <n v="-397.84810334847202"/>
  </r>
  <r>
    <x v="4"/>
    <d v="2023-06-05T00:00:00"/>
    <d v="2023-06-26T00:00:00"/>
    <x v="13"/>
    <n v="9"/>
    <n v="28"/>
    <n v="2687.49"/>
    <n v="2669.98"/>
    <n v="74759.44"/>
    <n v="75249.72"/>
    <n v="-490.27999999999884"/>
    <n v="-40.184137797973563"/>
    <n v="-530.4641377979724"/>
    <n v="0"/>
    <n v="0"/>
    <n v="0"/>
    <n v="-530.4641377979724"/>
  </r>
  <r>
    <x v="5"/>
    <d v="2023-07-05T00:00:00"/>
    <d v="2023-07-24T00:00:00"/>
    <x v="13"/>
    <n v="9"/>
    <n v="37"/>
    <n v="2687.49"/>
    <n v="2669.98"/>
    <n v="98789.26"/>
    <n v="99437.12999999999"/>
    <n v="-647.86999999999534"/>
    <n v="-53.100467804465062"/>
    <n v="-700.97046780446044"/>
    <n v="0"/>
    <n v="0"/>
    <n v="0"/>
    <n v="-700.97046780446044"/>
  </r>
  <r>
    <x v="6"/>
    <d v="2023-08-03T00:00:00"/>
    <d v="2023-08-24T00:00:00"/>
    <x v="13"/>
    <n v="9"/>
    <n v="38"/>
    <n v="2687.49"/>
    <n v="2669.98"/>
    <n v="101459.24"/>
    <n v="102124.62"/>
    <n v="-665.3799999999901"/>
    <n v="-54.535615582964127"/>
    <n v="-719.91561558295427"/>
    <n v="0"/>
    <n v="0"/>
    <n v="0"/>
    <n v="-719.91561558295427"/>
  </r>
  <r>
    <x v="7"/>
    <d v="2023-09-05T00:00:00"/>
    <d v="2023-09-25T00:00:00"/>
    <x v="13"/>
    <n v="9"/>
    <n v="40"/>
    <n v="2687.49"/>
    <n v="2669.98"/>
    <n v="106799.2"/>
    <n v="107499.59999999999"/>
    <n v="-700.39999999999418"/>
    <n v="-57.405911139962235"/>
    <n v="-757.80591113995638"/>
    <n v="0"/>
    <n v="0"/>
    <n v="0"/>
    <n v="-757.80591113995638"/>
  </r>
  <r>
    <x v="8"/>
    <d v="2023-10-04T00:00:00"/>
    <d v="2023-10-24T00:00:00"/>
    <x v="13"/>
    <n v="9"/>
    <n v="37"/>
    <n v="2687.49"/>
    <n v="2669.98"/>
    <n v="98789.26"/>
    <n v="99437.12999999999"/>
    <n v="-647.86999999999534"/>
    <n v="-53.100467804465062"/>
    <n v="-700.97046780446044"/>
    <n v="0"/>
    <n v="0"/>
    <n v="0"/>
    <n v="-700.97046780446044"/>
  </r>
  <r>
    <x v="9"/>
    <d v="2023-11-03T00:00:00"/>
    <d v="2023-11-24T00:00:00"/>
    <x v="13"/>
    <n v="9"/>
    <n v="30"/>
    <n v="2687.49"/>
    <n v="2669.98"/>
    <n v="80099.399999999994"/>
    <n v="80624.7"/>
    <n v="-525.30000000000291"/>
    <n v="-43.054433354971671"/>
    <n v="-568.35443335497462"/>
    <n v="0"/>
    <n v="0"/>
    <n v="0"/>
    <n v="-568.35443335497462"/>
  </r>
  <r>
    <x v="10"/>
    <d v="2023-12-06T00:00:00"/>
    <d v="2023-12-25T00:00:00"/>
    <x v="13"/>
    <n v="9"/>
    <n v="19"/>
    <n v="2687.49"/>
    <n v="2669.98"/>
    <n v="50729.62"/>
    <n v="51062.31"/>
    <n v="-332.68999999999505"/>
    <n v="-27.267807791482063"/>
    <n v="-359.95780779147714"/>
    <n v="0"/>
    <n v="0"/>
    <n v="0"/>
    <n v="-359.95780779147714"/>
  </r>
  <r>
    <x v="11"/>
    <d v="2024-01-03T00:00:00"/>
    <d v="2024-01-24T00:00:00"/>
    <x v="13"/>
    <n v="9"/>
    <n v="20"/>
    <n v="2687.49"/>
    <n v="2669.98"/>
    <n v="53399.6"/>
    <n v="53749.799999999996"/>
    <n v="-350.19999999999709"/>
    <n v="-28.702955569981118"/>
    <n v="-378.90295556997819"/>
    <n v="0"/>
    <n v="0"/>
    <n v="0"/>
    <n v="-378.90295556997819"/>
  </r>
  <r>
    <x v="0"/>
    <d v="2023-02-03T00:00:00"/>
    <d v="2023-02-24T00:00:00"/>
    <x v="14"/>
    <n v="9"/>
    <n v="36"/>
    <n v="2687.49"/>
    <n v="2669.98"/>
    <n v="96119.28"/>
    <n v="96749.639999999985"/>
    <n v="-630.35999999998603"/>
    <n v="-51.665320025966011"/>
    <n v="-682.02532002595206"/>
    <n v="0"/>
    <n v="0"/>
    <n v="0"/>
    <n v="-682.02532002595206"/>
  </r>
  <r>
    <x v="1"/>
    <d v="2023-03-03T00:00:00"/>
    <d v="2023-03-24T00:00:00"/>
    <x v="14"/>
    <n v="9"/>
    <n v="32"/>
    <n v="2687.49"/>
    <n v="2669.98"/>
    <n v="85439.360000000001"/>
    <n v="85999.679999999993"/>
    <n v="-560.31999999999243"/>
    <n v="-45.92472891196978"/>
    <n v="-606.24472891196217"/>
    <n v="0"/>
    <n v="0"/>
    <n v="0"/>
    <n v="-606.24472891196217"/>
  </r>
  <r>
    <x v="2"/>
    <d v="2023-04-05T00:00:00"/>
    <d v="2023-04-24T00:00:00"/>
    <x v="14"/>
    <n v="9"/>
    <n v="32"/>
    <n v="2687.49"/>
    <n v="2669.98"/>
    <n v="85439.360000000001"/>
    <n v="85999.679999999993"/>
    <n v="-560.31999999999243"/>
    <n v="-45.92472891196978"/>
    <n v="-606.24472891196217"/>
    <n v="0"/>
    <n v="0"/>
    <n v="0"/>
    <n v="-606.24472891196217"/>
  </r>
  <r>
    <x v="3"/>
    <d v="2023-05-03T00:00:00"/>
    <d v="2023-05-24T00:00:00"/>
    <x v="14"/>
    <n v="9"/>
    <n v="31"/>
    <n v="2687.49"/>
    <n v="2669.98"/>
    <n v="82769.38"/>
    <n v="83312.189999999988"/>
    <n v="-542.80999999998312"/>
    <n v="-44.489581133470729"/>
    <n v="-587.2995811334539"/>
    <n v="0"/>
    <n v="0"/>
    <n v="0"/>
    <n v="-587.2995811334539"/>
  </r>
  <r>
    <x v="4"/>
    <d v="2023-06-05T00:00:00"/>
    <d v="2023-06-26T00:00:00"/>
    <x v="14"/>
    <n v="9"/>
    <n v="38"/>
    <n v="2687.49"/>
    <n v="2669.98"/>
    <n v="101459.24"/>
    <n v="102124.62"/>
    <n v="-665.3799999999901"/>
    <n v="-54.535615582964127"/>
    <n v="-719.91561558295427"/>
    <n v="0"/>
    <n v="0"/>
    <n v="0"/>
    <n v="-719.91561558295427"/>
  </r>
  <r>
    <x v="5"/>
    <d v="2023-07-05T00:00:00"/>
    <d v="2023-07-24T00:00:00"/>
    <x v="14"/>
    <n v="9"/>
    <n v="48"/>
    <n v="2687.49"/>
    <n v="2669.98"/>
    <n v="128159.04000000001"/>
    <n v="128999.51999999999"/>
    <n v="-840.47999999998137"/>
    <n v="-68.887093367954677"/>
    <n v="-909.36709336793604"/>
    <n v="0"/>
    <n v="0"/>
    <n v="0"/>
    <n v="-909.36709336793604"/>
  </r>
  <r>
    <x v="6"/>
    <d v="2023-08-03T00:00:00"/>
    <d v="2023-08-24T00:00:00"/>
    <x v="14"/>
    <n v="9"/>
    <n v="49"/>
    <n v="2687.49"/>
    <n v="2669.98"/>
    <n v="130829.02"/>
    <n v="131687.00999999998"/>
    <n v="-857.98999999997613"/>
    <n v="-70.322241146453734"/>
    <n v="-928.31224114642987"/>
    <n v="0"/>
    <n v="0"/>
    <n v="0"/>
    <n v="-928.31224114642987"/>
  </r>
  <r>
    <x v="7"/>
    <d v="2023-09-05T00:00:00"/>
    <d v="2023-09-25T00:00:00"/>
    <x v="14"/>
    <n v="9"/>
    <n v="50"/>
    <n v="2687.49"/>
    <n v="2669.98"/>
    <n v="133499"/>
    <n v="134374.5"/>
    <n v="-875.5"/>
    <n v="-71.757388924952792"/>
    <n v="-947.25738892495281"/>
    <n v="0"/>
    <n v="0"/>
    <n v="0"/>
    <n v="-947.25738892495281"/>
  </r>
  <r>
    <x v="8"/>
    <d v="2023-10-04T00:00:00"/>
    <d v="2023-10-24T00:00:00"/>
    <x v="14"/>
    <n v="9"/>
    <n v="47"/>
    <n v="2687.49"/>
    <n v="2669.98"/>
    <n v="125489.06"/>
    <n v="126312.02999999998"/>
    <n v="-822.96999999998661"/>
    <n v="-67.451945589455619"/>
    <n v="-890.4219455894422"/>
    <n v="0"/>
    <n v="0"/>
    <n v="0"/>
    <n v="-890.4219455894422"/>
  </r>
  <r>
    <x v="9"/>
    <d v="2023-11-03T00:00:00"/>
    <d v="2023-11-24T00:00:00"/>
    <x v="14"/>
    <n v="9"/>
    <n v="36"/>
    <n v="2687.49"/>
    <n v="2669.98"/>
    <n v="96119.28"/>
    <n v="96749.639999999985"/>
    <n v="-630.35999999998603"/>
    <n v="-51.665320025966011"/>
    <n v="-682.02532002595206"/>
    <n v="0"/>
    <n v="0"/>
    <n v="0"/>
    <n v="-682.02532002595206"/>
  </r>
  <r>
    <x v="10"/>
    <d v="2023-12-06T00:00:00"/>
    <d v="2023-12-25T00:00:00"/>
    <x v="14"/>
    <n v="9"/>
    <n v="26"/>
    <n v="2687.49"/>
    <n v="2669.98"/>
    <n v="69419.48"/>
    <n v="69874.739999999991"/>
    <n v="-455.25999999999476"/>
    <n v="-37.313842240975447"/>
    <n v="-492.57384224097018"/>
    <n v="0"/>
    <n v="0"/>
    <n v="0"/>
    <n v="-492.57384224097018"/>
  </r>
  <r>
    <x v="11"/>
    <d v="2024-01-03T00:00:00"/>
    <d v="2024-01-24T00:00:00"/>
    <x v="14"/>
    <n v="9"/>
    <n v="31"/>
    <n v="2687.49"/>
    <n v="2669.98"/>
    <n v="82769.38"/>
    <n v="83312.189999999988"/>
    <n v="-542.80999999998312"/>
    <n v="-44.489581133470729"/>
    <n v="-587.2995811334539"/>
    <n v="0"/>
    <n v="0"/>
    <n v="0"/>
    <n v="-587.2995811334539"/>
  </r>
  <r>
    <x v="0"/>
    <d v="2023-02-03T00:00:00"/>
    <d v="2023-02-24T00:00:00"/>
    <x v="15"/>
    <n v="9"/>
    <n v="104"/>
    <n v="2687.49"/>
    <n v="2669.98"/>
    <n v="277677.92"/>
    <n v="279498.95999999996"/>
    <n v="-1821.039999999979"/>
    <n v="-149.25536896390179"/>
    <n v="-1970.2953689638807"/>
    <n v="0"/>
    <n v="0"/>
    <n v="0"/>
    <n v="-1970.2953689638807"/>
  </r>
  <r>
    <x v="1"/>
    <d v="2023-03-03T00:00:00"/>
    <d v="2023-03-24T00:00:00"/>
    <x v="15"/>
    <n v="9"/>
    <n v="107"/>
    <n v="2687.49"/>
    <n v="2669.98"/>
    <n v="285687.86"/>
    <n v="287561.43"/>
    <n v="-1873.570000000007"/>
    <n v="-153.56081229939898"/>
    <n v="-2027.130812299406"/>
    <n v="0"/>
    <n v="0"/>
    <n v="0"/>
    <n v="-2027.130812299406"/>
  </r>
  <r>
    <x v="2"/>
    <d v="2023-04-05T00:00:00"/>
    <d v="2023-04-24T00:00:00"/>
    <x v="15"/>
    <n v="9"/>
    <n v="103"/>
    <n v="2687.49"/>
    <n v="2669.98"/>
    <n v="275007.94"/>
    <n v="276811.46999999997"/>
    <n v="-1803.5299999999697"/>
    <n v="-147.82022118540274"/>
    <n v="-1951.3502211853724"/>
    <n v="0"/>
    <n v="0"/>
    <n v="0"/>
    <n v="-1951.3502211853724"/>
  </r>
  <r>
    <x v="3"/>
    <d v="2023-05-03T00:00:00"/>
    <d v="2023-05-24T00:00:00"/>
    <x v="15"/>
    <n v="9"/>
    <n v="98"/>
    <n v="2687.49"/>
    <n v="2669.98"/>
    <n v="261658.04"/>
    <n v="263374.01999999996"/>
    <n v="-1715.9799999999523"/>
    <n v="-140.64448229290747"/>
    <n v="-1856.6244822928597"/>
    <n v="0"/>
    <n v="0"/>
    <n v="0"/>
    <n v="-1856.6244822928597"/>
  </r>
  <r>
    <x v="4"/>
    <d v="2023-06-05T00:00:00"/>
    <d v="2023-06-26T00:00:00"/>
    <x v="15"/>
    <n v="9"/>
    <n v="105"/>
    <n v="2687.49"/>
    <n v="2669.98"/>
    <n v="280347.90000000002"/>
    <n v="282186.44999999995"/>
    <n v="-1838.5499999999302"/>
    <n v="-150.69051674240086"/>
    <n v="-1989.240516742331"/>
    <n v="0"/>
    <n v="0"/>
    <n v="0"/>
    <n v="-1989.240516742331"/>
  </r>
  <r>
    <x v="5"/>
    <d v="2023-07-05T00:00:00"/>
    <d v="2023-07-24T00:00:00"/>
    <x v="15"/>
    <n v="9"/>
    <n v="115"/>
    <n v="2687.49"/>
    <n v="2669.98"/>
    <n v="307047.7"/>
    <n v="309061.34999999998"/>
    <n v="-2013.6499999999651"/>
    <n v="-165.04199452739141"/>
    <n v="-2178.6919945273567"/>
    <n v="0"/>
    <n v="0"/>
    <n v="0"/>
    <n v="-2178.6919945273567"/>
  </r>
  <r>
    <x v="6"/>
    <d v="2023-08-03T00:00:00"/>
    <d v="2023-08-24T00:00:00"/>
    <x v="15"/>
    <n v="9"/>
    <n v="110"/>
    <n v="2687.49"/>
    <n v="2669.98"/>
    <n v="293697.8"/>
    <n v="295623.89999999997"/>
    <n v="-1926.0999999999767"/>
    <n v="-157.86625563489616"/>
    <n v="-2083.9662556348731"/>
    <n v="0"/>
    <n v="0"/>
    <n v="0"/>
    <n v="-2083.9662556348731"/>
  </r>
  <r>
    <x v="7"/>
    <d v="2023-09-05T00:00:00"/>
    <d v="2023-09-25T00:00:00"/>
    <x v="15"/>
    <n v="9"/>
    <n v="109"/>
    <n v="2687.49"/>
    <n v="2669.98"/>
    <n v="291027.82"/>
    <n v="292936.40999999997"/>
    <n v="-1908.5899999999674"/>
    <n v="-156.43110785639709"/>
    <n v="-2065.0211078563643"/>
    <n v="0"/>
    <n v="0"/>
    <n v="0"/>
    <n v="-2065.0211078563643"/>
  </r>
  <r>
    <x v="8"/>
    <d v="2023-10-04T00:00:00"/>
    <d v="2023-10-24T00:00:00"/>
    <x v="15"/>
    <n v="9"/>
    <n v="112"/>
    <n v="2687.49"/>
    <n v="2669.98"/>
    <n v="299037.76"/>
    <n v="300998.88"/>
    <n v="-1961.1199999999953"/>
    <n v="-160.73655119189425"/>
    <n v="-2121.8565511918896"/>
    <n v="0"/>
    <n v="0"/>
    <n v="0"/>
    <n v="-2121.8565511918896"/>
  </r>
  <r>
    <x v="9"/>
    <d v="2023-11-03T00:00:00"/>
    <d v="2023-11-24T00:00:00"/>
    <x v="15"/>
    <n v="9"/>
    <n v="107"/>
    <n v="2687.49"/>
    <n v="2669.98"/>
    <n v="285687.86"/>
    <n v="287561.43"/>
    <n v="-1873.570000000007"/>
    <n v="-153.56081229939898"/>
    <n v="-2027.130812299406"/>
    <n v="0"/>
    <n v="0"/>
    <n v="0"/>
    <n v="-2027.130812299406"/>
  </r>
  <r>
    <x v="10"/>
    <d v="2023-12-06T00:00:00"/>
    <d v="2023-12-25T00:00:00"/>
    <x v="15"/>
    <n v="9"/>
    <n v="104"/>
    <n v="2687.49"/>
    <n v="2669.98"/>
    <n v="277677.92"/>
    <n v="279498.95999999996"/>
    <n v="-1821.039999999979"/>
    <n v="-149.25536896390179"/>
    <n v="-1970.2953689638807"/>
    <n v="0"/>
    <n v="0"/>
    <n v="0"/>
    <n v="-1970.2953689638807"/>
  </r>
  <r>
    <x v="11"/>
    <d v="2024-01-03T00:00:00"/>
    <d v="2024-01-24T00:00:00"/>
    <x v="15"/>
    <n v="9"/>
    <n v="101"/>
    <n v="2687.49"/>
    <n v="2669.98"/>
    <n v="269667.98"/>
    <n v="271436.49"/>
    <n v="-1768.5100000000093"/>
    <n v="-144.94992562840466"/>
    <n v="-1913.4599256284139"/>
    <n v="0"/>
    <n v="0"/>
    <n v="0"/>
    <n v="-1913.45992562841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31" dataOnRows="1" applyNumberFormats="0" applyBorderFormats="0" applyFontFormats="0" applyPatternFormats="0" applyAlignmentFormats="0" applyWidthHeightFormats="1" dataCaption="Data" updatedVersion="8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69">
        <item m="1" x="69"/>
        <item m="1" x="93"/>
        <item m="1" x="117"/>
        <item m="1" x="141"/>
        <item m="1" x="165"/>
        <item m="1" x="45"/>
        <item m="1" x="80"/>
        <item m="1" x="104"/>
        <item m="1" x="128"/>
        <item m="1" x="152"/>
        <item m="1" x="32"/>
        <item m="1" x="56"/>
        <item m="1" x="70"/>
        <item m="1" x="94"/>
        <item m="1" x="118"/>
        <item m="1" x="142"/>
        <item m="1" x="166"/>
        <item m="1" x="46"/>
        <item m="1" x="82"/>
        <item m="1" x="106"/>
        <item m="1" x="130"/>
        <item m="1" x="154"/>
        <item m="1" x="34"/>
        <item m="1" x="58"/>
        <item m="1" x="71"/>
        <item m="1" x="95"/>
        <item m="1" x="119"/>
        <item m="1" x="143"/>
        <item m="1" x="167"/>
        <item m="1" x="47"/>
        <item m="1" x="83"/>
        <item m="1" x="107"/>
        <item m="1" x="131"/>
        <item m="1" x="155"/>
        <item m="1" x="35"/>
        <item m="1" x="59"/>
        <item m="1" x="72"/>
        <item m="1" x="96"/>
        <item m="1" x="120"/>
        <item m="1" x="144"/>
        <item m="1" x="24"/>
        <item m="1" x="48"/>
        <item m="1" x="84"/>
        <item m="1" x="108"/>
        <item m="1" x="132"/>
        <item m="1" x="156"/>
        <item m="1" x="36"/>
        <item m="1" x="60"/>
        <item m="1" x="73"/>
        <item m="1" x="97"/>
        <item m="1" x="121"/>
        <item m="1" x="145"/>
        <item m="1" x="25"/>
        <item m="1" x="49"/>
        <item m="1" x="85"/>
        <item m="1" x="109"/>
        <item m="1" x="133"/>
        <item m="1" x="157"/>
        <item m="1" x="37"/>
        <item m="1" x="61"/>
        <item m="1" x="74"/>
        <item m="1" x="98"/>
        <item m="1" x="122"/>
        <item m="1" x="146"/>
        <item m="1" x="26"/>
        <item m="1" x="50"/>
        <item m="1" x="86"/>
        <item m="1" x="110"/>
        <item m="1" x="134"/>
        <item m="1" x="158"/>
        <item m="1" x="38"/>
        <item m="1" x="62"/>
        <item m="1" x="75"/>
        <item m="1" x="99"/>
        <item m="1" x="123"/>
        <item m="1" x="147"/>
        <item m="1" x="27"/>
        <item m="1" x="51"/>
        <item m="1" x="87"/>
        <item m="1" x="111"/>
        <item m="1" x="135"/>
        <item m="1" x="159"/>
        <item m="1" x="39"/>
        <item m="1" x="63"/>
        <item m="1" x="76"/>
        <item m="1" x="100"/>
        <item m="1" x="124"/>
        <item m="1" x="148"/>
        <item m="1" x="28"/>
        <item m="1" x="52"/>
        <item m="1" x="88"/>
        <item m="1" x="112"/>
        <item m="1" x="136"/>
        <item m="1" x="160"/>
        <item m="1" x="40"/>
        <item m="1" x="64"/>
        <item m="1" x="77"/>
        <item m="1" x="101"/>
        <item m="1" x="125"/>
        <item m="1" x="149"/>
        <item m="1" x="29"/>
        <item m="1" x="53"/>
        <item m="1" x="89"/>
        <item m="1" x="113"/>
        <item m="1" x="137"/>
        <item m="1" x="161"/>
        <item m="1" x="41"/>
        <item m="1" x="65"/>
        <item m="1" x="78"/>
        <item m="1" x="102"/>
        <item m="1" x="126"/>
        <item m="1" x="150"/>
        <item m="1" x="30"/>
        <item m="1" x="54"/>
        <item m="1" x="90"/>
        <item m="1" x="114"/>
        <item m="1" x="138"/>
        <item m="1" x="162"/>
        <item m="1" x="42"/>
        <item m="1" x="66"/>
        <item m="1" x="79"/>
        <item m="1" x="103"/>
        <item m="1" x="127"/>
        <item m="1" x="151"/>
        <item m="1" x="31"/>
        <item m="1" x="55"/>
        <item m="1" x="91"/>
        <item m="1" x="115"/>
        <item m="1" x="139"/>
        <item m="1" x="163"/>
        <item m="1" x="43"/>
        <item m="1" x="67"/>
        <item m="1" x="81"/>
        <item m="1" x="105"/>
        <item m="1" x="129"/>
        <item m="1" x="153"/>
        <item m="1" x="33"/>
        <item m="1" x="57"/>
        <item m="1" x="92"/>
        <item m="1" x="116"/>
        <item m="1" x="140"/>
        <item m="1" x="164"/>
        <item m="1" x="44"/>
        <item m="1" x="68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workbookViewId="0">
      <selection activeCell="D7" sqref="D7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63</v>
      </c>
    </row>
    <row r="3" spans="1:2" x14ac:dyDescent="0.25">
      <c r="A3" s="2">
        <v>1</v>
      </c>
      <c r="B3" s="3" t="s">
        <v>65</v>
      </c>
    </row>
    <row r="4" spans="1:2" ht="13" x14ac:dyDescent="0.3">
      <c r="A4" s="2">
        <v>2</v>
      </c>
      <c r="B4" s="3" t="s">
        <v>64</v>
      </c>
    </row>
    <row r="5" spans="1:2" ht="13" x14ac:dyDescent="0.3">
      <c r="A5" s="2">
        <v>3</v>
      </c>
      <c r="B5" s="3" t="s">
        <v>66</v>
      </c>
    </row>
    <row r="6" spans="1:2" ht="13" x14ac:dyDescent="0.3">
      <c r="A6" s="2">
        <v>4</v>
      </c>
      <c r="B6" s="4" t="s">
        <v>80</v>
      </c>
    </row>
    <row r="7" spans="1:2" x14ac:dyDescent="0.25">
      <c r="A7" s="2">
        <v>5</v>
      </c>
      <c r="B7" s="3" t="s">
        <v>67</v>
      </c>
    </row>
    <row r="8" spans="1:2" x14ac:dyDescent="0.25">
      <c r="A8" s="2">
        <v>6</v>
      </c>
      <c r="B8" s="3" t="s">
        <v>68</v>
      </c>
    </row>
    <row r="9" spans="1:2" x14ac:dyDescent="0.25">
      <c r="A9" s="2">
        <v>7</v>
      </c>
      <c r="B9" s="5" t="s">
        <v>69</v>
      </c>
    </row>
    <row r="10" spans="1:2" ht="13" x14ac:dyDescent="0.3">
      <c r="A10" s="2">
        <v>8</v>
      </c>
      <c r="B10" s="3" t="s">
        <v>72</v>
      </c>
    </row>
    <row r="11" spans="1:2" x14ac:dyDescent="0.25">
      <c r="A11" s="2"/>
      <c r="B11" s="3" t="s">
        <v>73</v>
      </c>
    </row>
    <row r="12" spans="1:2" x14ac:dyDescent="0.25">
      <c r="A12" s="2"/>
      <c r="B12" s="5" t="s">
        <v>74</v>
      </c>
    </row>
    <row r="13" spans="1:2" x14ac:dyDescent="0.25">
      <c r="A13" s="2"/>
      <c r="B13" s="5" t="s">
        <v>75</v>
      </c>
    </row>
    <row r="14" spans="1:2" x14ac:dyDescent="0.25">
      <c r="A14" s="2">
        <v>9</v>
      </c>
      <c r="B14" s="3" t="s">
        <v>76</v>
      </c>
    </row>
    <row r="15" spans="1:2" x14ac:dyDescent="0.25">
      <c r="A15" s="2">
        <v>10</v>
      </c>
      <c r="B15" s="3" t="s">
        <v>78</v>
      </c>
    </row>
    <row r="16" spans="1:2" x14ac:dyDescent="0.25">
      <c r="A16" s="2">
        <v>11</v>
      </c>
      <c r="B16" s="3" t="s">
        <v>79</v>
      </c>
    </row>
    <row r="17" spans="1:1" x14ac:dyDescent="0.25">
      <c r="A17" s="2"/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6B37-5300-4465-A162-3DD5E0D1F129}">
  <dimension ref="A1:F22"/>
  <sheetViews>
    <sheetView tabSelected="1" workbookViewId="0">
      <selection activeCell="C25" sqref="C25"/>
    </sheetView>
  </sheetViews>
  <sheetFormatPr defaultRowHeight="12.5" x14ac:dyDescent="0.25"/>
  <cols>
    <col min="1" max="1" width="41.08984375" customWidth="1"/>
    <col min="2" max="2" width="13.08984375" customWidth="1"/>
    <col min="3" max="3" width="14.1796875" bestFit="1" customWidth="1"/>
    <col min="4" max="4" width="12.7265625" bestFit="1" customWidth="1"/>
    <col min="5" max="5" width="10.54296875" bestFit="1" customWidth="1"/>
  </cols>
  <sheetData>
    <row r="1" spans="1:5" x14ac:dyDescent="0.25">
      <c r="C1" t="s">
        <v>21</v>
      </c>
      <c r="D1" t="s">
        <v>22</v>
      </c>
      <c r="E1" t="s">
        <v>99</v>
      </c>
    </row>
    <row r="2" spans="1:5" ht="25" x14ac:dyDescent="0.25">
      <c r="A2" s="249" t="s">
        <v>102</v>
      </c>
      <c r="B2" s="250" t="s">
        <v>101</v>
      </c>
      <c r="C2" s="247">
        <v>4502576.1226782044</v>
      </c>
      <c r="D2" s="247">
        <v>6855834.0921565611</v>
      </c>
      <c r="E2" s="246">
        <f>C2+D2</f>
        <v>11358410.214834765</v>
      </c>
    </row>
    <row r="3" spans="1:5" ht="13" thickBot="1" x14ac:dyDescent="0.3"/>
    <row r="4" spans="1:5" x14ac:dyDescent="0.25">
      <c r="A4" s="239" t="s">
        <v>14</v>
      </c>
      <c r="B4" s="235">
        <f>0.074+0.018</f>
        <v>9.1999999999999998E-2</v>
      </c>
      <c r="C4" s="246">
        <f>$C$2*B4</f>
        <v>414237.00328639481</v>
      </c>
      <c r="D4" s="246">
        <f>$D$2*B4</f>
        <v>630736.73647840356</v>
      </c>
      <c r="E4" s="246">
        <f t="shared" ref="E4:E20" si="0">C4+D4</f>
        <v>1044973.7397647984</v>
      </c>
    </row>
    <row r="5" spans="1:5" x14ac:dyDescent="0.25">
      <c r="A5" s="240" t="s">
        <v>83</v>
      </c>
      <c r="B5" s="233">
        <v>5.0000000000000001E-3</v>
      </c>
      <c r="C5" s="246">
        <f t="shared" ref="C5:C16" si="1">$C$2*B5</f>
        <v>22512.880613391022</v>
      </c>
      <c r="D5" s="246">
        <f t="shared" ref="D5:D16" si="2">$D$2*B5</f>
        <v>34279.170460782807</v>
      </c>
      <c r="E5" s="246">
        <f t="shared" si="0"/>
        <v>56792.051074173825</v>
      </c>
    </row>
    <row r="6" spans="1:5" x14ac:dyDescent="0.25">
      <c r="A6" s="240" t="s">
        <v>54</v>
      </c>
      <c r="B6" s="233">
        <v>1.4999999999999999E-2</v>
      </c>
      <c r="C6" s="246">
        <f t="shared" si="1"/>
        <v>67538.641840173063</v>
      </c>
      <c r="D6" s="246">
        <f t="shared" si="2"/>
        <v>102837.51138234841</v>
      </c>
      <c r="E6" s="246">
        <f t="shared" si="0"/>
        <v>170376.15322252148</v>
      </c>
    </row>
    <row r="7" spans="1:5" x14ac:dyDescent="0.25">
      <c r="A7" s="241" t="s">
        <v>17</v>
      </c>
      <c r="B7" s="235">
        <v>1.2999999999999999E-2</v>
      </c>
      <c r="C7" s="246">
        <f t="shared" si="1"/>
        <v>58533.489594816652</v>
      </c>
      <c r="D7" s="246">
        <f t="shared" si="2"/>
        <v>89125.843198035291</v>
      </c>
      <c r="E7" s="246">
        <f t="shared" si="0"/>
        <v>147659.33279285196</v>
      </c>
    </row>
    <row r="8" spans="1:5" x14ac:dyDescent="0.25">
      <c r="A8" s="240" t="s">
        <v>13</v>
      </c>
      <c r="B8" s="233">
        <v>0.10199999999999999</v>
      </c>
      <c r="C8" s="246">
        <f t="shared" si="1"/>
        <v>459262.76451317681</v>
      </c>
      <c r="D8" s="246">
        <f t="shared" si="2"/>
        <v>699295.07739996922</v>
      </c>
      <c r="E8" s="246">
        <f t="shared" si="0"/>
        <v>1158557.841913146</v>
      </c>
    </row>
    <row r="9" spans="1:5" x14ac:dyDescent="0.25">
      <c r="A9" s="241" t="s">
        <v>15</v>
      </c>
      <c r="B9" s="235">
        <v>1E-3</v>
      </c>
      <c r="C9" s="246">
        <f t="shared" si="1"/>
        <v>4502.5761226782042</v>
      </c>
      <c r="D9" s="246">
        <f t="shared" si="2"/>
        <v>6855.8340921565614</v>
      </c>
      <c r="E9" s="246">
        <f t="shared" si="0"/>
        <v>11358.410214834767</v>
      </c>
    </row>
    <row r="10" spans="1:5" x14ac:dyDescent="0.25">
      <c r="A10" s="241" t="s">
        <v>57</v>
      </c>
      <c r="B10" s="235">
        <v>5.0000000000000001E-3</v>
      </c>
      <c r="C10" s="246">
        <f t="shared" si="1"/>
        <v>22512.880613391022</v>
      </c>
      <c r="D10" s="246">
        <f t="shared" si="2"/>
        <v>34279.170460782807</v>
      </c>
      <c r="E10" s="246">
        <f t="shared" si="0"/>
        <v>56792.051074173825</v>
      </c>
    </row>
    <row r="11" spans="1:5" x14ac:dyDescent="0.25">
      <c r="A11" s="241" t="s">
        <v>16</v>
      </c>
      <c r="B11" s="235">
        <v>0</v>
      </c>
      <c r="C11" s="246">
        <f t="shared" si="1"/>
        <v>0</v>
      </c>
      <c r="D11" s="246">
        <f t="shared" si="2"/>
        <v>0</v>
      </c>
      <c r="E11" s="246">
        <f t="shared" si="0"/>
        <v>0</v>
      </c>
    </row>
    <row r="12" spans="1:5" x14ac:dyDescent="0.25">
      <c r="A12" s="240" t="s">
        <v>56</v>
      </c>
      <c r="B12" s="233">
        <v>3.0000000000000001E-3</v>
      </c>
      <c r="C12" s="246">
        <f t="shared" si="1"/>
        <v>13507.728368034614</v>
      </c>
      <c r="D12" s="246">
        <f t="shared" si="2"/>
        <v>20567.502276469684</v>
      </c>
      <c r="E12" s="246">
        <f t="shared" si="0"/>
        <v>34075.2306445043</v>
      </c>
    </row>
    <row r="13" spans="1:5" x14ac:dyDescent="0.25">
      <c r="A13" s="240" t="s">
        <v>19</v>
      </c>
      <c r="B13" s="233">
        <f>0.003+0.002</f>
        <v>5.0000000000000001E-3</v>
      </c>
      <c r="C13" s="246">
        <f t="shared" si="1"/>
        <v>22512.880613391022</v>
      </c>
      <c r="D13" s="246">
        <f t="shared" si="2"/>
        <v>34279.170460782807</v>
      </c>
      <c r="E13" s="246">
        <f t="shared" si="0"/>
        <v>56792.051074173825</v>
      </c>
    </row>
    <row r="14" spans="1:5" x14ac:dyDescent="0.25">
      <c r="A14" s="241" t="s">
        <v>8</v>
      </c>
      <c r="B14" s="235">
        <v>1.2999999999999999E-2</v>
      </c>
      <c r="C14" s="246">
        <f t="shared" si="1"/>
        <v>58533.489594816652</v>
      </c>
      <c r="D14" s="246">
        <f t="shared" si="2"/>
        <v>89125.843198035291</v>
      </c>
      <c r="E14" s="246">
        <f t="shared" si="0"/>
        <v>147659.33279285196</v>
      </c>
    </row>
    <row r="15" spans="1:5" x14ac:dyDescent="0.25">
      <c r="A15" s="241" t="s">
        <v>55</v>
      </c>
      <c r="B15" s="235">
        <v>1E-3</v>
      </c>
      <c r="C15" s="246">
        <f t="shared" si="1"/>
        <v>4502.5761226782042</v>
      </c>
      <c r="D15" s="246">
        <f t="shared" si="2"/>
        <v>6855.8340921565614</v>
      </c>
      <c r="E15" s="246">
        <f t="shared" si="0"/>
        <v>11358.410214834767</v>
      </c>
    </row>
    <row r="16" spans="1:5" x14ac:dyDescent="0.25">
      <c r="A16" s="242" t="s">
        <v>9</v>
      </c>
      <c r="B16" s="235">
        <v>5.0000000000000001E-3</v>
      </c>
      <c r="C16" s="246">
        <f t="shared" si="1"/>
        <v>22512.880613391022</v>
      </c>
      <c r="D16" s="246">
        <f t="shared" si="2"/>
        <v>34279.170460782807</v>
      </c>
      <c r="E16" s="246">
        <f t="shared" si="0"/>
        <v>56792.051074173825</v>
      </c>
    </row>
    <row r="17" spans="1:6" ht="23" x14ac:dyDescent="0.25">
      <c r="A17" s="243" t="s">
        <v>43</v>
      </c>
      <c r="B17" s="234"/>
      <c r="C17" s="236">
        <f>SUM(C4:C16)</f>
        <v>1170669.791896333</v>
      </c>
      <c r="D17" s="236">
        <f>SUM(D4:D16)</f>
        <v>1782516.8639607055</v>
      </c>
      <c r="E17" s="236">
        <f>SUM(E4:E16)</f>
        <v>2953186.6558570387</v>
      </c>
      <c r="F17" s="237"/>
    </row>
    <row r="18" spans="1:6" x14ac:dyDescent="0.25">
      <c r="A18" s="244" t="s">
        <v>21</v>
      </c>
      <c r="B18" s="233">
        <v>0.37</v>
      </c>
      <c r="C18" s="246">
        <f>$C$2*B18</f>
        <v>1665953.1653909357</v>
      </c>
      <c r="D18" s="246">
        <f>$D$2*B18</f>
        <v>2536658.6140979277</v>
      </c>
      <c r="E18" s="246">
        <f t="shared" si="0"/>
        <v>4202611.7794888634</v>
      </c>
    </row>
    <row r="19" spans="1:6" x14ac:dyDescent="0.25">
      <c r="A19" s="241" t="s">
        <v>22</v>
      </c>
      <c r="B19" s="235">
        <v>0.35399999999999998</v>
      </c>
      <c r="C19" s="246">
        <f t="shared" ref="C19:C20" si="3">$C$2*B19</f>
        <v>1593911.9474280842</v>
      </c>
      <c r="D19" s="246">
        <f t="shared" ref="D19:D20" si="4">$D$2*B19</f>
        <v>2426965.2686234224</v>
      </c>
      <c r="E19" s="246">
        <f t="shared" si="0"/>
        <v>4020877.2160515068</v>
      </c>
    </row>
    <row r="20" spans="1:6" x14ac:dyDescent="0.25">
      <c r="A20" s="242" t="s">
        <v>81</v>
      </c>
      <c r="B20" s="235">
        <v>1.6E-2</v>
      </c>
      <c r="C20" s="246">
        <f t="shared" si="3"/>
        <v>72041.217962851268</v>
      </c>
      <c r="D20" s="246">
        <f t="shared" si="4"/>
        <v>109693.34547450498</v>
      </c>
      <c r="E20" s="246">
        <f t="shared" si="0"/>
        <v>181734.56343735626</v>
      </c>
    </row>
    <row r="21" spans="1:6" ht="23" x14ac:dyDescent="0.25">
      <c r="A21" s="243" t="s">
        <v>51</v>
      </c>
      <c r="B21" s="238"/>
      <c r="C21" s="248">
        <f>SUM(C18:C20)</f>
        <v>3331906.330781871</v>
      </c>
      <c r="D21" s="248">
        <f>SUM(D18:D20)</f>
        <v>5073317.2281958545</v>
      </c>
      <c r="E21" s="248">
        <f>SUM(E18:E20)</f>
        <v>8405223.5589777268</v>
      </c>
    </row>
    <row r="22" spans="1:6" ht="13" thickBot="1" x14ac:dyDescent="0.3">
      <c r="A22" s="245" t="s">
        <v>44</v>
      </c>
      <c r="B22" s="232"/>
      <c r="C22" s="246">
        <f>C17+C21</f>
        <v>4502576.1226782035</v>
      </c>
      <c r="D22" s="246">
        <f>D17+D21</f>
        <v>6855834.0921565602</v>
      </c>
      <c r="E22" s="246">
        <f>E17+E21</f>
        <v>11358410.214834765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1"/>
  <sheetViews>
    <sheetView zoomScale="85" zoomScaleNormal="85" zoomScaleSheetLayoutView="100" workbookViewId="0">
      <selection activeCell="C25" sqref="C25"/>
    </sheetView>
  </sheetViews>
  <sheetFormatPr defaultColWidth="33.26953125" defaultRowHeight="12.5" x14ac:dyDescent="0.25"/>
  <cols>
    <col min="1" max="1" width="51.36328125" style="1" customWidth="1"/>
    <col min="2" max="2" width="14" style="1" customWidth="1"/>
    <col min="3" max="3" width="21.81640625" style="1" customWidth="1"/>
    <col min="4" max="4" width="15.54296875" style="1" customWidth="1"/>
    <col min="5" max="14" width="14" style="1" customWidth="1"/>
    <col min="15" max="15" width="15" style="1" customWidth="1"/>
    <col min="16" max="108" width="31.7265625" style="1" customWidth="1"/>
    <col min="109" max="109" width="11.453125" style="1" customWidth="1"/>
    <col min="110" max="16384" width="33.26953125" style="1"/>
  </cols>
  <sheetData>
    <row r="1" spans="2:17" ht="13" x14ac:dyDescent="0.3">
      <c r="C1" s="258" t="str">
        <f>+Transactions!B1</f>
        <v>AEPTCo Formula Rate -- FERC Docket ER18-195</v>
      </c>
      <c r="D1" s="258"/>
      <c r="E1" s="258"/>
      <c r="F1" s="258"/>
      <c r="G1" s="258"/>
      <c r="H1" s="258"/>
      <c r="I1" s="258"/>
      <c r="J1" s="6">
        <v>2023</v>
      </c>
    </row>
    <row r="2" spans="2:17" ht="13" x14ac:dyDescent="0.3">
      <c r="C2" s="258" t="s">
        <v>36</v>
      </c>
      <c r="D2" s="258"/>
      <c r="E2" s="258"/>
      <c r="F2" s="258"/>
      <c r="G2" s="258"/>
      <c r="H2" s="258"/>
      <c r="I2" s="258"/>
    </row>
    <row r="3" spans="2:17" ht="13" x14ac:dyDescent="0.3">
      <c r="C3" s="258" t="str">
        <f>"for period 01/01/"&amp;F8&amp;" - 12/31/"&amp;F8</f>
        <v>for period 01/01/2023 - 12/31/2023</v>
      </c>
      <c r="D3" s="258"/>
      <c r="E3" s="258"/>
      <c r="F3" s="258"/>
      <c r="G3" s="258"/>
      <c r="H3" s="258"/>
      <c r="I3" s="258"/>
    </row>
    <row r="4" spans="2:17" ht="13" x14ac:dyDescent="0.3">
      <c r="C4" s="258" t="s">
        <v>94</v>
      </c>
      <c r="D4" s="258"/>
      <c r="E4" s="258"/>
      <c r="F4" s="258"/>
      <c r="G4" s="258"/>
      <c r="H4" s="258"/>
      <c r="I4" s="258"/>
    </row>
    <row r="5" spans="2:17" x14ac:dyDescent="0.25">
      <c r="C5" s="7" t="str">
        <f>"Prepared:  May 24_, "&amp;J1+1&amp;""</f>
        <v>Prepared:  May 24_, 2024</v>
      </c>
      <c r="D5" s="8"/>
    </row>
    <row r="6" spans="2:17" x14ac:dyDescent="0.25">
      <c r="C6" s="9"/>
    </row>
    <row r="7" spans="2:17" ht="13" x14ac:dyDescent="0.3">
      <c r="C7" s="10"/>
    </row>
    <row r="8" spans="2:17" ht="27.75" customHeight="1" thickBot="1" x14ac:dyDescent="0.3">
      <c r="F8" s="11">
        <v>2023</v>
      </c>
    </row>
    <row r="9" spans="2:17" ht="20.25" customHeight="1" x14ac:dyDescent="0.3">
      <c r="E9" s="12" t="s">
        <v>93</v>
      </c>
      <c r="F9" s="13"/>
      <c r="G9" s="14"/>
      <c r="H9" s="15"/>
      <c r="J9" s="2"/>
    </row>
    <row r="10" spans="2:17" ht="42" customHeight="1" thickBot="1" x14ac:dyDescent="0.3">
      <c r="B10" s="16"/>
      <c r="E10" s="17" t="str">
        <f>"(per "&amp;$F8&amp;" Projections "&amp;$F8&amp;")"</f>
        <v>(per 2023 Projections 2023)</v>
      </c>
      <c r="F10" s="18" t="str">
        <f>"(per "&amp;F8+1&amp;" Update of May "&amp;F8+1&amp;")"</f>
        <v>(per 2024 Update of May 2024)</v>
      </c>
      <c r="G10" s="19"/>
      <c r="H10" s="20"/>
    </row>
    <row r="11" spans="2:17" ht="21.75" customHeight="1" x14ac:dyDescent="0.25">
      <c r="B11" s="21"/>
      <c r="C11" s="22" t="s">
        <v>39</v>
      </c>
      <c r="D11" s="23" t="s">
        <v>37</v>
      </c>
      <c r="E11" s="24">
        <f>Transactions!K2</f>
        <v>294090069.35686433</v>
      </c>
      <c r="F11" s="25"/>
      <c r="G11" s="26"/>
      <c r="H11" s="27"/>
    </row>
    <row r="12" spans="2:17" ht="21.75" customHeight="1" x14ac:dyDescent="0.25">
      <c r="B12" s="21"/>
      <c r="C12" s="28"/>
      <c r="D12" s="29" t="s">
        <v>42</v>
      </c>
      <c r="E12" s="30"/>
      <c r="F12" s="31">
        <f>+Transactions!J2</f>
        <v>272813239.99252772</v>
      </c>
      <c r="G12" s="32"/>
      <c r="H12" s="33"/>
    </row>
    <row r="13" spans="2:17" ht="21.75" customHeight="1" x14ac:dyDescent="0.25">
      <c r="B13" s="34"/>
      <c r="C13" s="35" t="s">
        <v>40</v>
      </c>
      <c r="D13" s="36" t="s">
        <v>38</v>
      </c>
      <c r="E13" s="37">
        <f>Transactions!K3</f>
        <v>2687.49</v>
      </c>
      <c r="F13" s="33"/>
      <c r="G13" s="38"/>
      <c r="H13" s="39"/>
    </row>
    <row r="14" spans="2:17" ht="21.75" customHeight="1" thickBot="1" x14ac:dyDescent="0.3">
      <c r="B14" s="16"/>
      <c r="C14" s="40"/>
      <c r="D14" s="41" t="s">
        <v>41</v>
      </c>
      <c r="E14" s="42"/>
      <c r="F14" s="43">
        <f>+Transactions!J3</f>
        <v>2669.98</v>
      </c>
      <c r="G14" s="44"/>
      <c r="H14" s="33"/>
    </row>
    <row r="15" spans="2:17" x14ac:dyDescent="0.25">
      <c r="B15" s="21"/>
      <c r="E15" s="45"/>
    </row>
    <row r="16" spans="2:17" ht="13" x14ac:dyDescent="0.3">
      <c r="B16" s="34"/>
      <c r="C16" s="34"/>
      <c r="D16" s="46"/>
      <c r="E16" s="34"/>
      <c r="F16" s="47"/>
      <c r="G16" s="48"/>
      <c r="H16" s="48"/>
      <c r="J16" s="45"/>
      <c r="L16" s="50"/>
      <c r="M16" s="51"/>
      <c r="N16" s="51"/>
      <c r="O16" s="51"/>
      <c r="P16" s="51"/>
      <c r="Q16" s="51"/>
    </row>
    <row r="17" spans="2:17" ht="13" x14ac:dyDescent="0.3">
      <c r="C17" s="10"/>
      <c r="L17" s="52"/>
      <c r="M17" s="51"/>
      <c r="N17" s="51"/>
      <c r="O17" s="51"/>
      <c r="P17" s="51"/>
      <c r="Q17" s="51"/>
    </row>
    <row r="18" spans="2:17" x14ac:dyDescent="0.25">
      <c r="C18" s="50"/>
      <c r="D18" s="50"/>
      <c r="E18" s="50"/>
      <c r="F18" s="50"/>
      <c r="G18" s="50"/>
      <c r="H18" s="50"/>
      <c r="I18" s="50"/>
      <c r="L18" s="50"/>
      <c r="M18" s="51"/>
      <c r="N18" s="51"/>
      <c r="O18" s="51"/>
      <c r="P18" s="51"/>
      <c r="Q18" s="51"/>
    </row>
    <row r="19" spans="2:17" ht="21" customHeight="1" thickBot="1" x14ac:dyDescent="0.3">
      <c r="C19" s="53" t="s">
        <v>31</v>
      </c>
      <c r="D19" s="53" t="s">
        <v>32</v>
      </c>
      <c r="E19" s="54" t="s">
        <v>33</v>
      </c>
      <c r="F19" s="54" t="s">
        <v>34</v>
      </c>
      <c r="G19" s="53" t="s">
        <v>35</v>
      </c>
      <c r="H19" s="53" t="s">
        <v>92</v>
      </c>
      <c r="I19" s="54" t="s">
        <v>91</v>
      </c>
      <c r="L19" s="50"/>
      <c r="M19" s="51"/>
      <c r="N19" s="51"/>
      <c r="O19" s="51"/>
      <c r="P19" s="51"/>
      <c r="Q19" s="51"/>
    </row>
    <row r="20" spans="2:17" ht="53.25" customHeight="1" x14ac:dyDescent="0.25">
      <c r="C20" s="55" t="s">
        <v>50</v>
      </c>
      <c r="D20" s="56" t="str">
        <f>"Actual Charge
("&amp;F8&amp;" True-Up)"</f>
        <v>Actual Charge
(2023 True-Up)</v>
      </c>
      <c r="E20" s="57" t="str">
        <f>"Invoiced for
CY"&amp;F8&amp;" Transmission Service"</f>
        <v>Invoiced for
CY2023 Transmission Service</v>
      </c>
      <c r="F20" s="56" t="s">
        <v>96</v>
      </c>
      <c r="G20" s="58" t="s">
        <v>97</v>
      </c>
      <c r="H20" s="58" t="s">
        <v>100</v>
      </c>
      <c r="I20" s="56" t="s">
        <v>98</v>
      </c>
      <c r="L20" s="50"/>
      <c r="M20" s="51"/>
      <c r="N20" s="51"/>
      <c r="O20" s="51"/>
      <c r="P20" s="51"/>
      <c r="Q20" s="51"/>
    </row>
    <row r="21" spans="2:17" x14ac:dyDescent="0.25">
      <c r="B21" s="59"/>
      <c r="C21" s="60" t="s">
        <v>14</v>
      </c>
      <c r="D21" s="61">
        <f>GETPIVOTDATA("Sum of "&amp;T(Transactions!$J$19),Pivot!$A$3,"Customer",C21)</f>
        <v>25511658.899999999</v>
      </c>
      <c r="E21" s="61">
        <f>GETPIVOTDATA("Sum of "&amp;T(Transactions!$K$19),Pivot!$A$3,"Customer",C21)</f>
        <v>25678966.949999999</v>
      </c>
      <c r="F21" s="61">
        <f>D21-E21</f>
        <v>-167308.05000000075</v>
      </c>
      <c r="G21" s="51">
        <f>+GETPIVOTDATA("Sum of "&amp;T(Transactions!$M$19),Pivot!$A$3,"Customer","AECC")</f>
        <v>-13712.837023558477</v>
      </c>
      <c r="H21" s="51">
        <f>-'2021 NOLC Refund Detail'!E4</f>
        <v>-1044973.7397647984</v>
      </c>
      <c r="I21" s="62">
        <f>F21+G21+H21</f>
        <v>-1225994.6267883577</v>
      </c>
      <c r="J21" s="59"/>
      <c r="L21" s="50"/>
      <c r="M21" s="51"/>
      <c r="N21" s="51"/>
      <c r="O21" s="51"/>
      <c r="P21" s="51"/>
      <c r="Q21" s="51"/>
    </row>
    <row r="22" spans="2:17" x14ac:dyDescent="0.25">
      <c r="B22" s="59"/>
      <c r="C22" s="63" t="s">
        <v>83</v>
      </c>
      <c r="D22" s="61">
        <f>GETPIVOTDATA("Sum of "&amp;T(Transactions!$J$19),Pivot!$A$3,"Customer",C22)</f>
        <v>1401739.5</v>
      </c>
      <c r="E22" s="61">
        <f>GETPIVOTDATA("Sum of "&amp;T(Transactions!$K$19),Pivot!$A$3,"Customer",C22)</f>
        <v>1410932.2499999995</v>
      </c>
      <c r="F22" s="61">
        <f>D22-E22</f>
        <v>-9192.7499999995343</v>
      </c>
      <c r="G22" s="51">
        <f>+GETPIVOTDATA("Sum of "&amp;T(Transactions!$M$19),Pivot!$A$3,"Customer","AECI")</f>
        <v>-753.45258371200441</v>
      </c>
      <c r="H22" s="51">
        <f>-'2021 NOLC Refund Detail'!E5</f>
        <v>-56792.051074173825</v>
      </c>
      <c r="I22" s="62">
        <f t="shared" ref="I22:I33" si="0">F22+G22+H22</f>
        <v>-66738.253657885361</v>
      </c>
      <c r="J22" s="59"/>
      <c r="L22" s="50"/>
      <c r="M22" s="51"/>
      <c r="N22" s="51"/>
      <c r="O22" s="51"/>
      <c r="P22" s="51"/>
      <c r="Q22" s="51"/>
    </row>
    <row r="23" spans="2:17" x14ac:dyDescent="0.25">
      <c r="B23" s="59"/>
      <c r="C23" s="63" t="s">
        <v>54</v>
      </c>
      <c r="D23" s="61">
        <f>GETPIVOTDATA("Sum of "&amp;T(Transactions!$J$19),Pivot!$A$3,"Customer",C23)</f>
        <v>4050359.6599999997</v>
      </c>
      <c r="E23" s="61">
        <f>GETPIVOTDATA("Sum of "&amp;T(Transactions!$K$19),Pivot!$A$3,"Customer",C23)</f>
        <v>4076922.3299999996</v>
      </c>
      <c r="F23" s="61">
        <f t="shared" ref="F23:F35" si="1">D23-E23</f>
        <v>-26562.669999999925</v>
      </c>
      <c r="G23" s="51">
        <f>+GETPIVOTDATA("Sum of "&amp;T(Transactions!$M$19),Pivot!$A$3,"Customer","Bentonville, AR")</f>
        <v>-2177.1191799830676</v>
      </c>
      <c r="H23" s="51">
        <f>-'2021 NOLC Refund Detail'!E6</f>
        <v>-170376.15322252148</v>
      </c>
      <c r="I23" s="62">
        <f t="shared" si="0"/>
        <v>-199115.94240250447</v>
      </c>
      <c r="J23" s="59"/>
      <c r="L23" s="50"/>
      <c r="M23" s="51"/>
      <c r="N23" s="51"/>
      <c r="O23" s="51"/>
      <c r="P23" s="51"/>
      <c r="Q23" s="51"/>
    </row>
    <row r="24" spans="2:17" x14ac:dyDescent="0.25">
      <c r="B24" s="59"/>
      <c r="C24" s="60" t="s">
        <v>17</v>
      </c>
      <c r="D24" s="61">
        <f>GETPIVOTDATA("Sum of "&amp;T(Transactions!$J$19),Pivot!$A$3,"Customer",C24)</f>
        <v>3404224.5</v>
      </c>
      <c r="E24" s="61">
        <f>GETPIVOTDATA("Sum of "&amp;T(Transactions!$K$19),Pivot!$A$3,"Customer",C24)</f>
        <v>3426549.75</v>
      </c>
      <c r="F24" s="61">
        <f t="shared" si="1"/>
        <v>-22325.25</v>
      </c>
      <c r="G24" s="51">
        <f>+GETPIVOTDATA("Sum of "&amp;T(Transactions!$M$19),Pivot!$A$3,"Customer","Coffeyville, KS")</f>
        <v>-1829.8134175862963</v>
      </c>
      <c r="H24" s="51">
        <f>-'2021 NOLC Refund Detail'!E7</f>
        <v>-147659.33279285196</v>
      </c>
      <c r="I24" s="62">
        <f t="shared" si="0"/>
        <v>-171814.39621043825</v>
      </c>
      <c r="J24" s="59"/>
      <c r="L24" s="50"/>
      <c r="M24" s="51"/>
      <c r="N24" s="51"/>
      <c r="O24" s="51"/>
      <c r="P24" s="51"/>
      <c r="Q24" s="51"/>
    </row>
    <row r="25" spans="2:17" x14ac:dyDescent="0.25">
      <c r="B25" s="59"/>
      <c r="C25" s="63" t="s">
        <v>13</v>
      </c>
      <c r="D25" s="61">
        <f>GETPIVOTDATA("Sum of "&amp;T(Transactions!$J$19),Pivot!$A$3,"Customer",C25)</f>
        <v>27813181.66</v>
      </c>
      <c r="E25" s="61">
        <f>GETPIVOTDATA("Sum of "&amp;T(Transactions!$K$19),Pivot!$A$3,"Customer",C25)</f>
        <v>27995583.329999998</v>
      </c>
      <c r="F25" s="61">
        <f t="shared" si="1"/>
        <v>-182401.66999999806</v>
      </c>
      <c r="G25" s="51">
        <f>+GETPIVOTDATA("Sum of "&amp;T(Transactions!$M$19),Pivot!$A$3,"Customer","ETEC")</f>
        <v>-14949.934408624662</v>
      </c>
      <c r="H25" s="51">
        <f>-'2021 NOLC Refund Detail'!E8</f>
        <v>-1158557.841913146</v>
      </c>
      <c r="I25" s="62">
        <f t="shared" si="0"/>
        <v>-1355909.4463217687</v>
      </c>
      <c r="J25" s="59"/>
      <c r="L25" s="52"/>
      <c r="M25" s="51"/>
      <c r="N25" s="51"/>
      <c r="O25" s="51"/>
      <c r="P25" s="51"/>
      <c r="Q25" s="51"/>
    </row>
    <row r="26" spans="2:17" x14ac:dyDescent="0.25">
      <c r="B26" s="59"/>
      <c r="C26" s="60" t="s">
        <v>15</v>
      </c>
      <c r="D26" s="61">
        <f>GETPIVOTDATA("Sum of "&amp;T(Transactions!$J$19),Pivot!$A$3,"Customer",C26)</f>
        <v>288357.84000000003</v>
      </c>
      <c r="E26" s="61">
        <f>GETPIVOTDATA("Sum of "&amp;T(Transactions!$K$19),Pivot!$A$3,"Customer",C26)</f>
        <v>290248.92</v>
      </c>
      <c r="F26" s="61">
        <f t="shared" si="1"/>
        <v>-1891.0799999999581</v>
      </c>
      <c r="G26" s="51">
        <f>+GETPIVOTDATA("Sum of "&amp;T(Transactions!$M$19),Pivot!$A$3,"Customer","Greenbelt")</f>
        <v>-154.99596007789805</v>
      </c>
      <c r="H26" s="51">
        <f>-'2021 NOLC Refund Detail'!E9</f>
        <v>-11358.410214834767</v>
      </c>
      <c r="I26" s="62">
        <f t="shared" si="0"/>
        <v>-13404.486174912623</v>
      </c>
      <c r="J26" s="59"/>
      <c r="K26" s="64"/>
      <c r="L26" s="64"/>
      <c r="M26" s="64"/>
      <c r="N26" s="64"/>
      <c r="O26" s="51"/>
      <c r="P26" s="51"/>
      <c r="Q26" s="51"/>
    </row>
    <row r="27" spans="2:17" x14ac:dyDescent="0.25">
      <c r="B27" s="59"/>
      <c r="C27" s="60" t="s">
        <v>57</v>
      </c>
      <c r="D27" s="61">
        <f>GETPIVOTDATA("Sum of "&amp;T(Transactions!$J$19),Pivot!$A$3,"Customer",C27)</f>
        <v>1217510.8799999999</v>
      </c>
      <c r="E27" s="61">
        <f>GETPIVOTDATA("Sum of "&amp;T(Transactions!$K$19),Pivot!$A$3,"Customer",C27)</f>
        <v>1225495.44</v>
      </c>
      <c r="F27" s="61">
        <f t="shared" si="1"/>
        <v>-7984.5600000000559</v>
      </c>
      <c r="G27" s="51">
        <f>+GETPIVOTDATA("Sum of "&amp;T(Transactions!$M$19),Pivot!$A$3,"Customer","Hope, AR")</f>
        <v>-654.42738699556946</v>
      </c>
      <c r="H27" s="51">
        <f>-'2021 NOLC Refund Detail'!E10</f>
        <v>-56792.051074173825</v>
      </c>
      <c r="I27" s="62">
        <f t="shared" si="0"/>
        <v>-65431.038461169446</v>
      </c>
      <c r="J27" s="59"/>
      <c r="K27" s="64"/>
      <c r="L27" s="64"/>
      <c r="M27" s="64"/>
      <c r="N27" s="64"/>
      <c r="O27" s="51"/>
      <c r="P27" s="51"/>
      <c r="Q27" s="51"/>
    </row>
    <row r="28" spans="2:17" x14ac:dyDescent="0.25">
      <c r="B28" s="59"/>
      <c r="C28" s="60" t="s">
        <v>16</v>
      </c>
      <c r="D28" s="61">
        <f>GETPIVOTDATA("Sum of "&amp;T(Transactions!$J$19),Pivot!$A$3,"Customer",C28)</f>
        <v>149518.88</v>
      </c>
      <c r="E28" s="61">
        <f>GETPIVOTDATA("Sum of "&amp;T(Transactions!$K$19),Pivot!$A$3,"Customer",C28)</f>
        <v>150499.43999999997</v>
      </c>
      <c r="F28" s="61">
        <f t="shared" si="1"/>
        <v>-980.55999999996857</v>
      </c>
      <c r="G28" s="51">
        <f>+GETPIVOTDATA("Sum of "&amp;T(Transactions!$M$19),Pivot!$A$3,"Customer","Lighthouse")</f>
        <v>-80.368275595947111</v>
      </c>
      <c r="H28" s="51">
        <f>-'2021 NOLC Refund Detail'!E11</f>
        <v>0</v>
      </c>
      <c r="I28" s="62">
        <f t="shared" si="0"/>
        <v>-1060.9282755959157</v>
      </c>
      <c r="J28" s="59"/>
      <c r="L28" s="50"/>
      <c r="M28" s="51"/>
      <c r="N28" s="51"/>
      <c r="O28" s="51"/>
      <c r="P28" s="51"/>
      <c r="Q28" s="51"/>
    </row>
    <row r="29" spans="2:17" x14ac:dyDescent="0.25">
      <c r="B29" s="59"/>
      <c r="C29" s="63" t="s">
        <v>56</v>
      </c>
      <c r="D29" s="61">
        <f>GETPIVOTDATA("Sum of "&amp;T(Transactions!$J$19),Pivot!$A$3,"Customer",C29)</f>
        <v>883763.38</v>
      </c>
      <c r="E29" s="61">
        <f>GETPIVOTDATA("Sum of "&amp;T(Transactions!$K$19),Pivot!$A$3,"Customer",C29)</f>
        <v>889559.19</v>
      </c>
      <c r="F29" s="61">
        <f t="shared" si="1"/>
        <v>-5795.8099999999395</v>
      </c>
      <c r="G29" s="51">
        <f>+GETPIVOTDATA("Sum of "&amp;T(Transactions!$M$19),Pivot!$A$3,"Customer","Minden, LA")</f>
        <v>-475.03391468318745</v>
      </c>
      <c r="H29" s="51">
        <f>-'2021 NOLC Refund Detail'!E12</f>
        <v>-34075.2306445043</v>
      </c>
      <c r="I29" s="62">
        <f t="shared" si="0"/>
        <v>-40346.074559187429</v>
      </c>
      <c r="J29" s="59"/>
      <c r="L29" s="50"/>
      <c r="M29" s="51"/>
      <c r="N29" s="51"/>
      <c r="O29" s="51"/>
      <c r="P29" s="51"/>
      <c r="Q29" s="51"/>
    </row>
    <row r="30" spans="2:17" x14ac:dyDescent="0.25">
      <c r="B30" s="59"/>
      <c r="C30" s="63" t="s">
        <v>19</v>
      </c>
      <c r="D30" s="61">
        <f>GETPIVOTDATA("Sum of "&amp;T(Transactions!$J$19),Pivot!$A$3,"Customer",C30)</f>
        <v>1975785.2</v>
      </c>
      <c r="E30" s="61">
        <f>GETPIVOTDATA("Sum of "&amp;T(Transactions!$K$19),Pivot!$A$3,"Customer",C30)</f>
        <v>1988742.5999999996</v>
      </c>
      <c r="F30" s="61">
        <f t="shared" si="1"/>
        <v>-12957.399999999674</v>
      </c>
      <c r="G30" s="51">
        <f>+GETPIVOTDATA("Sum of "&amp;T(Transactions!$M$19),Pivot!$A$3,"Customer","OG&amp;E")</f>
        <v>-1062.0093560893015</v>
      </c>
      <c r="H30" s="51">
        <f>-'2021 NOLC Refund Detail'!E13</f>
        <v>-56792.051074173825</v>
      </c>
      <c r="I30" s="62">
        <f t="shared" si="0"/>
        <v>-70811.460430262799</v>
      </c>
      <c r="J30" s="59"/>
    </row>
    <row r="31" spans="2:17" x14ac:dyDescent="0.25">
      <c r="B31" s="59"/>
      <c r="C31" s="60" t="s">
        <v>8</v>
      </c>
      <c r="D31" s="61">
        <f>GETPIVOTDATA("Sum of "&amp;T(Transactions!$J$19),Pivot!$A$3,"Customer",C31)</f>
        <v>3388204.62</v>
      </c>
      <c r="E31" s="61">
        <f>GETPIVOTDATA("Sum of "&amp;T(Transactions!$K$19),Pivot!$A$3,"Customer",C31)</f>
        <v>3410424.8099999991</v>
      </c>
      <c r="F31" s="61">
        <f t="shared" si="1"/>
        <v>-22220.189999999013</v>
      </c>
      <c r="G31" s="51">
        <f>+GETPIVOTDATA("Sum of "&amp;T(Transactions!$M$19),Pivot!$A$3,"Customer","OMPA")</f>
        <v>-1821.2025309153016</v>
      </c>
      <c r="H31" s="51">
        <f>-'2021 NOLC Refund Detail'!E14</f>
        <v>-147659.33279285196</v>
      </c>
      <c r="I31" s="62">
        <f t="shared" si="0"/>
        <v>-171700.72532376627</v>
      </c>
      <c r="J31" s="59"/>
    </row>
    <row r="32" spans="2:17" x14ac:dyDescent="0.25">
      <c r="B32" s="59"/>
      <c r="C32" s="60" t="s">
        <v>55</v>
      </c>
      <c r="D32" s="61">
        <f>GETPIVOTDATA("Sum of "&amp;T(Transactions!$J$19),Pivot!$A$3,"Customer",C32)</f>
        <v>323067.58</v>
      </c>
      <c r="E32" s="61">
        <f>GETPIVOTDATA("Sum of "&amp;T(Transactions!$K$19),Pivot!$A$3,"Customer",C32)</f>
        <v>325186.28999999998</v>
      </c>
      <c r="F32" s="61">
        <f t="shared" si="1"/>
        <v>-2118.7099999999627</v>
      </c>
      <c r="G32" s="51">
        <f>+GETPIVOTDATA("Sum of "&amp;T(Transactions!$M$19),Pivot!$A$3,"Customer","Prescott, AR")</f>
        <v>-173.65288119838576</v>
      </c>
      <c r="H32" s="51">
        <f>-'2021 NOLC Refund Detail'!E15</f>
        <v>-11358.410214834767</v>
      </c>
      <c r="I32" s="62">
        <f t="shared" si="0"/>
        <v>-13650.773096033116</v>
      </c>
      <c r="J32" s="59"/>
    </row>
    <row r="33" spans="2:11" x14ac:dyDescent="0.25">
      <c r="B33" s="59"/>
      <c r="C33" s="65" t="s">
        <v>9</v>
      </c>
      <c r="D33" s="61">
        <f>GETPIVOTDATA("Sum of "&amp;T(Transactions!$J$19),Pivot!$A$3,"Customer",C33)</f>
        <v>1644707.68</v>
      </c>
      <c r="E33" s="61">
        <f>GETPIVOTDATA("Sum of "&amp;T(Transactions!$K$19),Pivot!$A$3,"Customer",C33)</f>
        <v>1655493.8399999996</v>
      </c>
      <c r="F33" s="61">
        <f t="shared" si="1"/>
        <v>-10786.159999999683</v>
      </c>
      <c r="G33" s="51">
        <f>+GETPIVOTDATA("Sum of "&amp;T(Transactions!$M$19),Pivot!$A$3,"Customer","WFEC")</f>
        <v>-884.05103155541826</v>
      </c>
      <c r="H33" s="51">
        <f>-'2021 NOLC Refund Detail'!E16</f>
        <v>-56792.051074173825</v>
      </c>
      <c r="I33" s="62">
        <f t="shared" si="0"/>
        <v>-68462.262105728922</v>
      </c>
      <c r="J33" s="59"/>
    </row>
    <row r="34" spans="2:11" ht="23" x14ac:dyDescent="0.25">
      <c r="C34" s="66" t="s">
        <v>43</v>
      </c>
      <c r="D34" s="67">
        <f t="shared" ref="D34:I34" si="2">SUM(D21:D33)</f>
        <v>72052080.280000016</v>
      </c>
      <c r="E34" s="67">
        <f t="shared" si="2"/>
        <v>72524605.140000001</v>
      </c>
      <c r="F34" s="67">
        <f t="shared" si="2"/>
        <v>-472524.85999999649</v>
      </c>
      <c r="G34" s="68">
        <f t="shared" si="2"/>
        <v>-38728.897950575527</v>
      </c>
      <c r="H34" s="68">
        <f t="shared" si="2"/>
        <v>-2953186.6558570387</v>
      </c>
      <c r="I34" s="69">
        <f t="shared" si="2"/>
        <v>-3464440.413807611</v>
      </c>
    </row>
    <row r="35" spans="2:11" x14ac:dyDescent="0.25">
      <c r="C35" s="70" t="s">
        <v>21</v>
      </c>
      <c r="D35" s="61">
        <f>GETPIVOTDATA("Sum of "&amp;T(Transactions!$J$19),Pivot!$A$3,"Customer",C35)</f>
        <v>101603418.91999999</v>
      </c>
      <c r="E35" s="61">
        <f>GETPIVOTDATA("Sum of "&amp;T(Transactions!$K$19),Pivot!$A$3,"Customer",C35)</f>
        <v>102269744.46000001</v>
      </c>
      <c r="F35" s="61">
        <f t="shared" si="1"/>
        <v>-666325.54000002146</v>
      </c>
      <c r="G35" s="51">
        <f>+GETPIVOTDATA("Sum of "&amp;T(Transactions!$M$19),Pivot!$A$3,"Customer","PSO")</f>
        <v>-54613.113563003069</v>
      </c>
      <c r="H35" s="51">
        <f>-'2021 NOLC Refund Detail'!E18</f>
        <v>-4202611.7794888634</v>
      </c>
      <c r="I35" s="62">
        <f>F35+G35+H35</f>
        <v>-4923550.4330518879</v>
      </c>
    </row>
    <row r="36" spans="2:11" x14ac:dyDescent="0.25">
      <c r="C36" s="71" t="s">
        <v>22</v>
      </c>
      <c r="D36" s="61">
        <f>GETPIVOTDATA("Sum of "&amp;T(Transactions!$J$19),Pivot!$A$3,"Customer",C36)</f>
        <v>94824339.699999988</v>
      </c>
      <c r="E36" s="61">
        <f>GETPIVOTDATA("Sum of "&amp;T(Transactions!$K$19),Pivot!$A$3,"Customer",C36)</f>
        <v>95446207.350000024</v>
      </c>
      <c r="F36" s="61">
        <f>D36-E36</f>
        <v>-621867.65000003576</v>
      </c>
      <c r="G36" s="51">
        <f>+GETPIVOTDATA("Sum of "&amp;T(Transactions!$M$19),Pivot!$A$3,"Customer","SWEPCO")</f>
        <v>-50969.273353393961</v>
      </c>
      <c r="H36" s="51">
        <f>-'2021 NOLC Refund Detail'!E19</f>
        <v>-4020877.2160515068</v>
      </c>
      <c r="I36" s="62">
        <f t="shared" ref="I36:I37" si="3">F36+G36+H36</f>
        <v>-4693714.1394049367</v>
      </c>
    </row>
    <row r="37" spans="2:11" x14ac:dyDescent="0.25">
      <c r="C37" s="72" t="s">
        <v>81</v>
      </c>
      <c r="D37" s="61">
        <f>GETPIVOTDATA("Sum of "&amp;T(Transactions!$J$19),Pivot!$A$3,"Customer",C37)</f>
        <v>4333377.5399999991</v>
      </c>
      <c r="E37" s="61">
        <f>GETPIVOTDATA("Sum of "&amp;T(Transactions!$K$19),Pivot!$A$3,"Customer",C37)</f>
        <v>4361796.2700000005</v>
      </c>
      <c r="F37" s="61">
        <f>D37-E37</f>
        <v>-28418.730000001378</v>
      </c>
      <c r="G37" s="51">
        <f>+GETPIVOTDATA("Sum of "&amp;T(Transactions!$M$19),Pivot!$A$3,"Customer","SWEPCO-Valley")</f>
        <v>-2329.2448445039672</v>
      </c>
      <c r="H37" s="51">
        <f>-'2021 NOLC Refund Detail'!E20</f>
        <v>-181734.56343735626</v>
      </c>
      <c r="I37" s="62">
        <f t="shared" si="3"/>
        <v>-212482.53828186161</v>
      </c>
    </row>
    <row r="38" spans="2:11" ht="23" x14ac:dyDescent="0.25">
      <c r="C38" s="73" t="s">
        <v>51</v>
      </c>
      <c r="D38" s="74">
        <f t="shared" ref="D38:I38" si="4">SUM(D35:D37)</f>
        <v>200761136.15999997</v>
      </c>
      <c r="E38" s="74">
        <f t="shared" si="4"/>
        <v>202077748.08000004</v>
      </c>
      <c r="F38" s="74">
        <f t="shared" si="4"/>
        <v>-1316611.9200000586</v>
      </c>
      <c r="G38" s="75">
        <f t="shared" si="4"/>
        <v>-107911.63176090099</v>
      </c>
      <c r="H38" s="75">
        <f t="shared" si="4"/>
        <v>-8405223.5589777268</v>
      </c>
      <c r="I38" s="76">
        <f t="shared" si="4"/>
        <v>-9829747.1107386872</v>
      </c>
      <c r="K38" s="77"/>
    </row>
    <row r="39" spans="2:11" ht="23.25" customHeight="1" thickBot="1" x14ac:dyDescent="0.3">
      <c r="C39" s="78" t="s">
        <v>44</v>
      </c>
      <c r="D39" s="79">
        <f t="shared" ref="D39:I39" si="5">SUM(D34,D38)</f>
        <v>272813216.44</v>
      </c>
      <c r="E39" s="80">
        <f t="shared" si="5"/>
        <v>274602353.22000003</v>
      </c>
      <c r="F39" s="79">
        <f t="shared" si="5"/>
        <v>-1789136.7800000552</v>
      </c>
      <c r="G39" s="80">
        <f t="shared" si="5"/>
        <v>-146640.52971147653</v>
      </c>
      <c r="H39" s="80">
        <f t="shared" si="5"/>
        <v>-11358410.214834765</v>
      </c>
      <c r="I39" s="81">
        <f t="shared" si="5"/>
        <v>-13294187.524546299</v>
      </c>
      <c r="K39" s="77"/>
    </row>
    <row r="40" spans="2:11" x14ac:dyDescent="0.25">
      <c r="E40" s="50"/>
      <c r="F40" s="50"/>
      <c r="G40" s="50"/>
      <c r="H40" s="50"/>
    </row>
    <row r="41" spans="2:11" x14ac:dyDescent="0.25">
      <c r="I41" s="251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3"/>
  <sheetViews>
    <sheetView zoomScale="85" workbookViewId="0">
      <pane xSplit="2" ySplit="4" topLeftCell="C101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defaultColWidth="8.7265625" defaultRowHeight="12.5" x14ac:dyDescent="0.25"/>
  <cols>
    <col min="1" max="1" width="51.36328125" style="1" customWidth="1"/>
    <col min="2" max="2" width="27.81640625" style="1" bestFit="1" customWidth="1"/>
    <col min="3" max="14" width="14.81640625" style="1" bestFit="1" customWidth="1"/>
    <col min="15" max="15" width="12.1796875" style="1" bestFit="1" customWidth="1"/>
    <col min="16" max="16384" width="8.7265625" style="1"/>
  </cols>
  <sheetData>
    <row r="3" spans="1:15" x14ac:dyDescent="0.25">
      <c r="A3" s="83"/>
      <c r="B3" s="84"/>
      <c r="C3" s="85" t="s">
        <v>53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6"/>
    </row>
    <row r="4" spans="1:15" x14ac:dyDescent="0.25">
      <c r="A4" s="85" t="s">
        <v>0</v>
      </c>
      <c r="B4" s="85" t="s">
        <v>24</v>
      </c>
      <c r="C4" s="87">
        <v>44927</v>
      </c>
      <c r="D4" s="88">
        <v>44958</v>
      </c>
      <c r="E4" s="88">
        <v>44986</v>
      </c>
      <c r="F4" s="88">
        <v>45017</v>
      </c>
      <c r="G4" s="88">
        <v>45047</v>
      </c>
      <c r="H4" s="88">
        <v>45078</v>
      </c>
      <c r="I4" s="88">
        <v>45108</v>
      </c>
      <c r="J4" s="88">
        <v>45139</v>
      </c>
      <c r="K4" s="88">
        <v>45170</v>
      </c>
      <c r="L4" s="88">
        <v>45200</v>
      </c>
      <c r="M4" s="88">
        <v>45231</v>
      </c>
      <c r="N4" s="88">
        <v>45261</v>
      </c>
      <c r="O4" s="89" t="s">
        <v>18</v>
      </c>
    </row>
    <row r="5" spans="1:15" x14ac:dyDescent="0.25">
      <c r="A5" s="83" t="s">
        <v>14</v>
      </c>
      <c r="B5" s="83" t="s">
        <v>70</v>
      </c>
      <c r="C5" s="90">
        <v>2210743.44</v>
      </c>
      <c r="D5" s="91">
        <v>2098604.2799999998</v>
      </c>
      <c r="E5" s="91">
        <v>1874325.96</v>
      </c>
      <c r="F5" s="91">
        <v>1385719.62</v>
      </c>
      <c r="G5" s="91">
        <v>1922385.6</v>
      </c>
      <c r="H5" s="91">
        <v>2603230.5</v>
      </c>
      <c r="I5" s="91">
        <v>2467061.52</v>
      </c>
      <c r="J5" s="91">
        <v>2811488.94</v>
      </c>
      <c r="K5" s="91">
        <v>2416331.9</v>
      </c>
      <c r="L5" s="91">
        <v>1852966.12</v>
      </c>
      <c r="M5" s="91">
        <v>1965105.28</v>
      </c>
      <c r="N5" s="91">
        <v>1903695.74</v>
      </c>
      <c r="O5" s="92">
        <v>25511658.899999999</v>
      </c>
    </row>
    <row r="6" spans="1:15" ht="13" x14ac:dyDescent="0.3">
      <c r="A6" s="217"/>
      <c r="B6" s="93" t="s">
        <v>25</v>
      </c>
      <c r="C6" s="252">
        <v>-14498.279999999795</v>
      </c>
      <c r="D6" s="253">
        <v>-13762.85999999987</v>
      </c>
      <c r="E6" s="253">
        <v>-12292.019999999786</v>
      </c>
      <c r="F6" s="253">
        <v>-9087.6899999997113</v>
      </c>
      <c r="G6" s="253">
        <v>-12607.199999999721</v>
      </c>
      <c r="H6" s="253">
        <v>-17072.25</v>
      </c>
      <c r="I6" s="253">
        <v>-16179.239999999758</v>
      </c>
      <c r="J6" s="253">
        <v>-18438.029999999795</v>
      </c>
      <c r="K6" s="253">
        <v>-15846.549999999814</v>
      </c>
      <c r="L6" s="253">
        <v>-12151.939999999711</v>
      </c>
      <c r="M6" s="253">
        <v>-12887.35999999987</v>
      </c>
      <c r="N6" s="253">
        <v>-12484.629999999888</v>
      </c>
      <c r="O6" s="254">
        <v>-167308.04999999772</v>
      </c>
    </row>
    <row r="7" spans="1:15" ht="13" x14ac:dyDescent="0.3">
      <c r="A7" s="217"/>
      <c r="B7" s="93" t="s">
        <v>26</v>
      </c>
      <c r="C7" s="252">
        <v>-1188.3023605972182</v>
      </c>
      <c r="D7" s="253">
        <v>-1128.0261539002579</v>
      </c>
      <c r="E7" s="253">
        <v>-1007.4737405063372</v>
      </c>
      <c r="F7" s="253">
        <v>-744.84169704100998</v>
      </c>
      <c r="G7" s="253">
        <v>-1033.3064005193203</v>
      </c>
      <c r="H7" s="253">
        <v>-1399.2690840365794</v>
      </c>
      <c r="I7" s="253">
        <v>-1326.0765473331276</v>
      </c>
      <c r="J7" s="253">
        <v>-1511.2106107595059</v>
      </c>
      <c r="K7" s="253">
        <v>-1298.8087395416455</v>
      </c>
      <c r="L7" s="253">
        <v>-995.99255827834475</v>
      </c>
      <c r="M7" s="253">
        <v>-1056.2687649753052</v>
      </c>
      <c r="N7" s="253">
        <v>-1023.2603660698268</v>
      </c>
      <c r="O7" s="254">
        <v>-13712.837023558477</v>
      </c>
    </row>
    <row r="8" spans="1:15" ht="13" x14ac:dyDescent="0.3">
      <c r="A8" s="217"/>
      <c r="B8" s="93" t="s">
        <v>27</v>
      </c>
      <c r="C8" s="252">
        <v>-15686.582360597013</v>
      </c>
      <c r="D8" s="253">
        <v>-14890.886153900128</v>
      </c>
      <c r="E8" s="253">
        <v>-13299.493740506123</v>
      </c>
      <c r="F8" s="253">
        <v>-9832.5316970407221</v>
      </c>
      <c r="G8" s="253">
        <v>-13640.506400519042</v>
      </c>
      <c r="H8" s="253">
        <v>-18471.519084036579</v>
      </c>
      <c r="I8" s="253">
        <v>-17505.316547332885</v>
      </c>
      <c r="J8" s="253">
        <v>-19949.240610759301</v>
      </c>
      <c r="K8" s="253">
        <v>-17145.358739541458</v>
      </c>
      <c r="L8" s="253">
        <v>-13147.932558278057</v>
      </c>
      <c r="M8" s="253">
        <v>-13943.628764975176</v>
      </c>
      <c r="N8" s="253">
        <v>-13507.890366069714</v>
      </c>
      <c r="O8" s="254">
        <v>-181020.88702355619</v>
      </c>
    </row>
    <row r="9" spans="1:15" x14ac:dyDescent="0.25">
      <c r="A9" s="217"/>
      <c r="B9" s="93" t="s">
        <v>49</v>
      </c>
      <c r="C9" s="94">
        <v>2225241.7199999997</v>
      </c>
      <c r="D9" s="82">
        <v>2112367.1399999997</v>
      </c>
      <c r="E9" s="82">
        <v>1886617.9799999997</v>
      </c>
      <c r="F9" s="82">
        <v>1394807.3099999998</v>
      </c>
      <c r="G9" s="82">
        <v>1934992.7999999998</v>
      </c>
      <c r="H9" s="82">
        <v>2620302.75</v>
      </c>
      <c r="I9" s="82">
        <v>2483240.7599999998</v>
      </c>
      <c r="J9" s="82">
        <v>2829926.9699999997</v>
      </c>
      <c r="K9" s="82">
        <v>2432178.4499999997</v>
      </c>
      <c r="L9" s="82">
        <v>1865118.0599999998</v>
      </c>
      <c r="M9" s="82">
        <v>1977992.64</v>
      </c>
      <c r="N9" s="82">
        <v>1916180.3699999999</v>
      </c>
      <c r="O9" s="95">
        <v>25678966.949999999</v>
      </c>
    </row>
    <row r="10" spans="1:15" x14ac:dyDescent="0.25">
      <c r="A10" s="217"/>
      <c r="B10" s="93" t="s">
        <v>87</v>
      </c>
      <c r="C10" s="94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95">
        <v>0</v>
      </c>
    </row>
    <row r="11" spans="1:15" x14ac:dyDescent="0.25">
      <c r="A11" s="217"/>
      <c r="B11" s="93" t="s">
        <v>89</v>
      </c>
      <c r="C11" s="94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95">
        <v>0</v>
      </c>
    </row>
    <row r="12" spans="1:15" x14ac:dyDescent="0.25">
      <c r="A12" s="83" t="s">
        <v>17</v>
      </c>
      <c r="B12" s="83" t="s">
        <v>70</v>
      </c>
      <c r="C12" s="90">
        <v>277677.92</v>
      </c>
      <c r="D12" s="91">
        <v>285687.86</v>
      </c>
      <c r="E12" s="91">
        <v>275007.94</v>
      </c>
      <c r="F12" s="91">
        <v>261658.04</v>
      </c>
      <c r="G12" s="91">
        <v>280347.90000000002</v>
      </c>
      <c r="H12" s="91">
        <v>307047.7</v>
      </c>
      <c r="I12" s="91">
        <v>293697.8</v>
      </c>
      <c r="J12" s="91">
        <v>291027.82</v>
      </c>
      <c r="K12" s="91">
        <v>299037.76</v>
      </c>
      <c r="L12" s="91">
        <v>285687.86</v>
      </c>
      <c r="M12" s="91">
        <v>277677.92</v>
      </c>
      <c r="N12" s="91">
        <v>269667.98</v>
      </c>
      <c r="O12" s="92">
        <v>3404224.5</v>
      </c>
    </row>
    <row r="13" spans="1:15" ht="13" x14ac:dyDescent="0.3">
      <c r="A13" s="217"/>
      <c r="B13" s="93" t="s">
        <v>25</v>
      </c>
      <c r="C13" s="252">
        <v>-1821.039999999979</v>
      </c>
      <c r="D13" s="253">
        <v>-1873.570000000007</v>
      </c>
      <c r="E13" s="253">
        <v>-1803.5299999999697</v>
      </c>
      <c r="F13" s="253">
        <v>-1715.9799999999523</v>
      </c>
      <c r="G13" s="253">
        <v>-1838.5499999999302</v>
      </c>
      <c r="H13" s="253">
        <v>-2013.6499999999651</v>
      </c>
      <c r="I13" s="253">
        <v>-1926.0999999999767</v>
      </c>
      <c r="J13" s="253">
        <v>-1908.5899999999674</v>
      </c>
      <c r="K13" s="253">
        <v>-1961.1199999999953</v>
      </c>
      <c r="L13" s="253">
        <v>-1873.570000000007</v>
      </c>
      <c r="M13" s="253">
        <v>-1821.039999999979</v>
      </c>
      <c r="N13" s="253">
        <v>-1768.5100000000093</v>
      </c>
      <c r="O13" s="254">
        <v>-22325.249999999738</v>
      </c>
    </row>
    <row r="14" spans="1:15" ht="13" x14ac:dyDescent="0.3">
      <c r="A14" s="217"/>
      <c r="B14" s="93" t="s">
        <v>26</v>
      </c>
      <c r="C14" s="252">
        <v>-149.25536896390179</v>
      </c>
      <c r="D14" s="253">
        <v>-153.56081229939898</v>
      </c>
      <c r="E14" s="253">
        <v>-147.82022118540274</v>
      </c>
      <c r="F14" s="253">
        <v>-140.64448229290747</v>
      </c>
      <c r="G14" s="253">
        <v>-150.69051674240086</v>
      </c>
      <c r="H14" s="253">
        <v>-165.04199452739141</v>
      </c>
      <c r="I14" s="253">
        <v>-157.86625563489616</v>
      </c>
      <c r="J14" s="253">
        <v>-156.43110785639709</v>
      </c>
      <c r="K14" s="253">
        <v>-160.73655119189425</v>
      </c>
      <c r="L14" s="253">
        <v>-153.56081229939898</v>
      </c>
      <c r="M14" s="253">
        <v>-149.25536896390179</v>
      </c>
      <c r="N14" s="253">
        <v>-144.94992562840466</v>
      </c>
      <c r="O14" s="254">
        <v>-1829.8134175862963</v>
      </c>
    </row>
    <row r="15" spans="1:15" ht="13" x14ac:dyDescent="0.3">
      <c r="A15" s="217"/>
      <c r="B15" s="93" t="s">
        <v>27</v>
      </c>
      <c r="C15" s="252">
        <v>-1970.2953689638807</v>
      </c>
      <c r="D15" s="253">
        <v>-2027.130812299406</v>
      </c>
      <c r="E15" s="253">
        <v>-1951.3502211853724</v>
      </c>
      <c r="F15" s="253">
        <v>-1856.6244822928597</v>
      </c>
      <c r="G15" s="253">
        <v>-1989.240516742331</v>
      </c>
      <c r="H15" s="253">
        <v>-2178.6919945273567</v>
      </c>
      <c r="I15" s="253">
        <v>-2083.9662556348731</v>
      </c>
      <c r="J15" s="253">
        <v>-2065.0211078563643</v>
      </c>
      <c r="K15" s="253">
        <v>-2121.8565511918896</v>
      </c>
      <c r="L15" s="253">
        <v>-2027.130812299406</v>
      </c>
      <c r="M15" s="253">
        <v>-1970.2953689638807</v>
      </c>
      <c r="N15" s="253">
        <v>-1913.4599256284139</v>
      </c>
      <c r="O15" s="254">
        <v>-24155.063417586036</v>
      </c>
    </row>
    <row r="16" spans="1:15" x14ac:dyDescent="0.25">
      <c r="A16" s="217"/>
      <c r="B16" s="93" t="s">
        <v>49</v>
      </c>
      <c r="C16" s="94">
        <v>279498.95999999996</v>
      </c>
      <c r="D16" s="82">
        <v>287561.43</v>
      </c>
      <c r="E16" s="82">
        <v>276811.46999999997</v>
      </c>
      <c r="F16" s="82">
        <v>263374.01999999996</v>
      </c>
      <c r="G16" s="82">
        <v>282186.44999999995</v>
      </c>
      <c r="H16" s="82">
        <v>309061.34999999998</v>
      </c>
      <c r="I16" s="82">
        <v>295623.89999999997</v>
      </c>
      <c r="J16" s="82">
        <v>292936.40999999997</v>
      </c>
      <c r="K16" s="82">
        <v>300998.88</v>
      </c>
      <c r="L16" s="82">
        <v>287561.43</v>
      </c>
      <c r="M16" s="82">
        <v>279498.95999999996</v>
      </c>
      <c r="N16" s="82">
        <v>271436.49</v>
      </c>
      <c r="O16" s="95">
        <v>3426549.75</v>
      </c>
    </row>
    <row r="17" spans="1:15" x14ac:dyDescent="0.25">
      <c r="A17" s="217"/>
      <c r="B17" s="93" t="s">
        <v>87</v>
      </c>
      <c r="C17" s="94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95">
        <v>0</v>
      </c>
    </row>
    <row r="18" spans="1:15" x14ac:dyDescent="0.25">
      <c r="A18" s="217"/>
      <c r="B18" s="93" t="s">
        <v>89</v>
      </c>
      <c r="C18" s="94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95">
        <v>0</v>
      </c>
    </row>
    <row r="19" spans="1:15" x14ac:dyDescent="0.25">
      <c r="A19" s="83" t="s">
        <v>13</v>
      </c>
      <c r="B19" s="83" t="s">
        <v>70</v>
      </c>
      <c r="C19" s="90">
        <v>2581870.66</v>
      </c>
      <c r="D19" s="91">
        <v>2549830.9</v>
      </c>
      <c r="E19" s="91">
        <v>2328222.56</v>
      </c>
      <c r="F19" s="91">
        <v>1607327.96</v>
      </c>
      <c r="G19" s="91">
        <v>1898355.78</v>
      </c>
      <c r="H19" s="91">
        <v>2499101.2799999998</v>
      </c>
      <c r="I19" s="91">
        <v>2488421.36</v>
      </c>
      <c r="J19" s="91">
        <v>2736729.5</v>
      </c>
      <c r="K19" s="91">
        <v>2493761.3199999998</v>
      </c>
      <c r="L19" s="91">
        <v>1868986</v>
      </c>
      <c r="M19" s="91">
        <v>2314872.66</v>
      </c>
      <c r="N19" s="91">
        <v>2445701.6800000002</v>
      </c>
      <c r="O19" s="92">
        <v>27813181.66</v>
      </c>
    </row>
    <row r="20" spans="1:15" ht="13" x14ac:dyDescent="0.3">
      <c r="A20" s="217"/>
      <c r="B20" s="93" t="s">
        <v>25</v>
      </c>
      <c r="C20" s="252">
        <v>-16932.16999999946</v>
      </c>
      <c r="D20" s="253">
        <v>-16722.049999999814</v>
      </c>
      <c r="E20" s="253">
        <v>-15268.719999999739</v>
      </c>
      <c r="F20" s="253">
        <v>-10541.020000000019</v>
      </c>
      <c r="G20" s="253">
        <v>-12449.60999999987</v>
      </c>
      <c r="H20" s="253">
        <v>-16389.35999999987</v>
      </c>
      <c r="I20" s="253">
        <v>-16319.319999999832</v>
      </c>
      <c r="J20" s="253">
        <v>-17947.75</v>
      </c>
      <c r="K20" s="253">
        <v>-16354.339999999851</v>
      </c>
      <c r="L20" s="253">
        <v>-12256.999999999767</v>
      </c>
      <c r="M20" s="253">
        <v>-15181.16999999946</v>
      </c>
      <c r="N20" s="253">
        <v>-16039.159999999683</v>
      </c>
      <c r="O20" s="254">
        <v>-182401.66999999736</v>
      </c>
    </row>
    <row r="21" spans="1:15" ht="13" x14ac:dyDescent="0.3">
      <c r="A21" s="217"/>
      <c r="B21" s="93" t="s">
        <v>26</v>
      </c>
      <c r="C21" s="252">
        <v>-1387.7879018085871</v>
      </c>
      <c r="D21" s="253">
        <v>-1370.5661284665985</v>
      </c>
      <c r="E21" s="253">
        <v>-1251.4488628511767</v>
      </c>
      <c r="F21" s="253">
        <v>-863.95896265643159</v>
      </c>
      <c r="G21" s="253">
        <v>-1020.3900705128286</v>
      </c>
      <c r="H21" s="253">
        <v>-1343.2983206751164</v>
      </c>
      <c r="I21" s="253">
        <v>-1337.5577295611201</v>
      </c>
      <c r="J21" s="253">
        <v>-1471.0264729615321</v>
      </c>
      <c r="K21" s="253">
        <v>-1340.4280251181181</v>
      </c>
      <c r="L21" s="253">
        <v>-1004.6034449493391</v>
      </c>
      <c r="M21" s="253">
        <v>-1244.2731239586815</v>
      </c>
      <c r="N21" s="253">
        <v>-1314.5953651051352</v>
      </c>
      <c r="O21" s="254">
        <v>-14949.934408624662</v>
      </c>
    </row>
    <row r="22" spans="1:15" ht="13" x14ac:dyDescent="0.3">
      <c r="A22" s="217"/>
      <c r="B22" s="93" t="s">
        <v>27</v>
      </c>
      <c r="C22" s="252">
        <v>-18319.957901808048</v>
      </c>
      <c r="D22" s="253">
        <v>-18092.616128466412</v>
      </c>
      <c r="E22" s="253">
        <v>-16520.168862850915</v>
      </c>
      <c r="F22" s="253">
        <v>-11404.978962656451</v>
      </c>
      <c r="G22" s="253">
        <v>-13470.000070512699</v>
      </c>
      <c r="H22" s="253">
        <v>-17732.658320674986</v>
      </c>
      <c r="I22" s="253">
        <v>-17656.877729560954</v>
      </c>
      <c r="J22" s="253">
        <v>-19418.776472961534</v>
      </c>
      <c r="K22" s="253">
        <v>-17694.76802511797</v>
      </c>
      <c r="L22" s="253">
        <v>-13261.603444949105</v>
      </c>
      <c r="M22" s="253">
        <v>-16425.443123958143</v>
      </c>
      <c r="N22" s="253">
        <v>-17353.755365104818</v>
      </c>
      <c r="O22" s="254">
        <v>-197351.60440862205</v>
      </c>
    </row>
    <row r="23" spans="1:15" x14ac:dyDescent="0.25">
      <c r="A23" s="217"/>
      <c r="B23" s="93" t="s">
        <v>49</v>
      </c>
      <c r="C23" s="94">
        <v>2598802.8299999996</v>
      </c>
      <c r="D23" s="82">
        <v>2566552.9499999997</v>
      </c>
      <c r="E23" s="82">
        <v>2343491.2799999998</v>
      </c>
      <c r="F23" s="82">
        <v>1617868.98</v>
      </c>
      <c r="G23" s="82">
        <v>1910805.39</v>
      </c>
      <c r="H23" s="82">
        <v>2515490.6399999997</v>
      </c>
      <c r="I23" s="82">
        <v>2504740.6799999997</v>
      </c>
      <c r="J23" s="82">
        <v>2754677.25</v>
      </c>
      <c r="K23" s="82">
        <v>2510115.6599999997</v>
      </c>
      <c r="L23" s="82">
        <v>1881242.9999999998</v>
      </c>
      <c r="M23" s="82">
        <v>2330053.8299999996</v>
      </c>
      <c r="N23" s="82">
        <v>2461740.84</v>
      </c>
      <c r="O23" s="95">
        <v>27995583.329999998</v>
      </c>
    </row>
    <row r="24" spans="1:15" x14ac:dyDescent="0.25">
      <c r="A24" s="217"/>
      <c r="B24" s="93" t="s">
        <v>87</v>
      </c>
      <c r="C24" s="94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95">
        <v>0</v>
      </c>
    </row>
    <row r="25" spans="1:15" x14ac:dyDescent="0.25">
      <c r="A25" s="217"/>
      <c r="B25" s="93" t="s">
        <v>89</v>
      </c>
      <c r="C25" s="94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95">
        <v>0</v>
      </c>
    </row>
    <row r="26" spans="1:15" x14ac:dyDescent="0.25">
      <c r="A26" s="83" t="s">
        <v>15</v>
      </c>
      <c r="B26" s="83" t="s">
        <v>70</v>
      </c>
      <c r="C26" s="90">
        <v>16019.880000000001</v>
      </c>
      <c r="D26" s="91">
        <v>13349.9</v>
      </c>
      <c r="E26" s="91">
        <v>13349.9</v>
      </c>
      <c r="F26" s="91">
        <v>18689.86</v>
      </c>
      <c r="G26" s="91">
        <v>10679.92</v>
      </c>
      <c r="H26" s="91">
        <v>37379.72</v>
      </c>
      <c r="I26" s="91">
        <v>34709.74</v>
      </c>
      <c r="J26" s="91">
        <v>50729.62</v>
      </c>
      <c r="K26" s="91">
        <v>48059.64</v>
      </c>
      <c r="L26" s="91">
        <v>16019.880000000001</v>
      </c>
      <c r="M26" s="91">
        <v>16019.880000000001</v>
      </c>
      <c r="N26" s="91">
        <v>13349.9</v>
      </c>
      <c r="O26" s="92">
        <v>288357.84000000003</v>
      </c>
    </row>
    <row r="27" spans="1:15" ht="13" x14ac:dyDescent="0.3">
      <c r="A27" s="217"/>
      <c r="B27" s="93" t="s">
        <v>25</v>
      </c>
      <c r="C27" s="252">
        <v>-105.05999999999767</v>
      </c>
      <c r="D27" s="253">
        <v>-87.549999999999272</v>
      </c>
      <c r="E27" s="253">
        <v>-87.549999999999272</v>
      </c>
      <c r="F27" s="253">
        <v>-122.56999999999971</v>
      </c>
      <c r="G27" s="253">
        <v>-70.039999999999054</v>
      </c>
      <c r="H27" s="253">
        <v>-245.13999999999942</v>
      </c>
      <c r="I27" s="253">
        <v>-227.62999999999738</v>
      </c>
      <c r="J27" s="253">
        <v>-332.68999999999505</v>
      </c>
      <c r="K27" s="253">
        <v>-315.17999999999302</v>
      </c>
      <c r="L27" s="253">
        <v>-105.05999999999767</v>
      </c>
      <c r="M27" s="253">
        <v>-105.05999999999767</v>
      </c>
      <c r="N27" s="253">
        <v>-87.549999999999272</v>
      </c>
      <c r="O27" s="254">
        <v>-1891.0799999999745</v>
      </c>
    </row>
    <row r="28" spans="1:15" ht="13" x14ac:dyDescent="0.3">
      <c r="A28" s="217"/>
      <c r="B28" s="93" t="s">
        <v>26</v>
      </c>
      <c r="C28" s="252">
        <v>-8.6108866709943346</v>
      </c>
      <c r="D28" s="253">
        <v>-7.1757388924952794</v>
      </c>
      <c r="E28" s="253">
        <v>-7.1757388924952794</v>
      </c>
      <c r="F28" s="253">
        <v>-10.046034449493391</v>
      </c>
      <c r="G28" s="253">
        <v>-5.7405911139962225</v>
      </c>
      <c r="H28" s="253">
        <v>-20.092068898986781</v>
      </c>
      <c r="I28" s="253">
        <v>-18.656921120487723</v>
      </c>
      <c r="J28" s="253">
        <v>-27.267807791482063</v>
      </c>
      <c r="K28" s="253">
        <v>-25.832660012983006</v>
      </c>
      <c r="L28" s="253">
        <v>-8.6108866709943346</v>
      </c>
      <c r="M28" s="253">
        <v>-8.6108866709943346</v>
      </c>
      <c r="N28" s="253">
        <v>-7.1757388924952794</v>
      </c>
      <c r="O28" s="254">
        <v>-154.99596007789805</v>
      </c>
    </row>
    <row r="29" spans="1:15" ht="13" x14ac:dyDescent="0.3">
      <c r="A29" s="217"/>
      <c r="B29" s="93" t="s">
        <v>27</v>
      </c>
      <c r="C29" s="252">
        <v>-113.670886670992</v>
      </c>
      <c r="D29" s="253">
        <v>-94.725738892494547</v>
      </c>
      <c r="E29" s="253">
        <v>-94.725738892494547</v>
      </c>
      <c r="F29" s="253">
        <v>-132.6160344494931</v>
      </c>
      <c r="G29" s="253">
        <v>-75.780591113995271</v>
      </c>
      <c r="H29" s="253">
        <v>-265.2320688989862</v>
      </c>
      <c r="I29" s="253">
        <v>-246.28692112048509</v>
      </c>
      <c r="J29" s="253">
        <v>-359.95780779147714</v>
      </c>
      <c r="K29" s="253">
        <v>-341.01266001297603</v>
      </c>
      <c r="L29" s="253">
        <v>-113.670886670992</v>
      </c>
      <c r="M29" s="253">
        <v>-113.670886670992</v>
      </c>
      <c r="N29" s="253">
        <v>-94.725738892494547</v>
      </c>
      <c r="O29" s="254">
        <v>-2046.0759600778729</v>
      </c>
    </row>
    <row r="30" spans="1:15" x14ac:dyDescent="0.25">
      <c r="A30" s="217"/>
      <c r="B30" s="93" t="s">
        <v>49</v>
      </c>
      <c r="C30" s="94">
        <v>16124.939999999999</v>
      </c>
      <c r="D30" s="82">
        <v>13437.449999999999</v>
      </c>
      <c r="E30" s="82">
        <v>13437.449999999999</v>
      </c>
      <c r="F30" s="82">
        <v>18812.43</v>
      </c>
      <c r="G30" s="82">
        <v>10749.96</v>
      </c>
      <c r="H30" s="82">
        <v>37624.86</v>
      </c>
      <c r="I30" s="82">
        <v>34937.369999999995</v>
      </c>
      <c r="J30" s="82">
        <v>51062.31</v>
      </c>
      <c r="K30" s="82">
        <v>48374.819999999992</v>
      </c>
      <c r="L30" s="82">
        <v>16124.939999999999</v>
      </c>
      <c r="M30" s="82">
        <v>16124.939999999999</v>
      </c>
      <c r="N30" s="82">
        <v>13437.449999999999</v>
      </c>
      <c r="O30" s="95">
        <v>290248.92</v>
      </c>
    </row>
    <row r="31" spans="1:15" x14ac:dyDescent="0.25">
      <c r="A31" s="217"/>
      <c r="B31" s="93" t="s">
        <v>87</v>
      </c>
      <c r="C31" s="94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95">
        <v>0</v>
      </c>
    </row>
    <row r="32" spans="1:15" x14ac:dyDescent="0.25">
      <c r="A32" s="217"/>
      <c r="B32" s="93" t="s">
        <v>89</v>
      </c>
      <c r="C32" s="94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95">
        <v>0</v>
      </c>
    </row>
    <row r="33" spans="1:15" x14ac:dyDescent="0.25">
      <c r="A33" s="83" t="s">
        <v>16</v>
      </c>
      <c r="B33" s="83" t="s">
        <v>70</v>
      </c>
      <c r="C33" s="90">
        <v>10679.92</v>
      </c>
      <c r="D33" s="91">
        <v>13349.9</v>
      </c>
      <c r="E33" s="91">
        <v>2669.98</v>
      </c>
      <c r="F33" s="91">
        <v>18689.86</v>
      </c>
      <c r="G33" s="91">
        <v>8009.9400000000005</v>
      </c>
      <c r="H33" s="91">
        <v>18689.86</v>
      </c>
      <c r="I33" s="91">
        <v>13349.9</v>
      </c>
      <c r="J33" s="91">
        <v>13349.9</v>
      </c>
      <c r="K33" s="91">
        <v>16019.880000000001</v>
      </c>
      <c r="L33" s="91">
        <v>13349.9</v>
      </c>
      <c r="M33" s="91">
        <v>10679.92</v>
      </c>
      <c r="N33" s="91">
        <v>10679.92</v>
      </c>
      <c r="O33" s="92">
        <v>149518.88</v>
      </c>
    </row>
    <row r="34" spans="1:15" ht="13" x14ac:dyDescent="0.3">
      <c r="A34" s="217"/>
      <c r="B34" s="93" t="s">
        <v>25</v>
      </c>
      <c r="C34" s="252">
        <v>-70.039999999999054</v>
      </c>
      <c r="D34" s="253">
        <v>-87.549999999999272</v>
      </c>
      <c r="E34" s="253">
        <v>-17.509999999999764</v>
      </c>
      <c r="F34" s="253">
        <v>-122.56999999999971</v>
      </c>
      <c r="G34" s="253">
        <v>-52.529999999998836</v>
      </c>
      <c r="H34" s="253">
        <v>-122.56999999999971</v>
      </c>
      <c r="I34" s="253">
        <v>-87.549999999999272</v>
      </c>
      <c r="J34" s="253">
        <v>-87.549999999999272</v>
      </c>
      <c r="K34" s="253">
        <v>-105.05999999999767</v>
      </c>
      <c r="L34" s="253">
        <v>-87.549999999999272</v>
      </c>
      <c r="M34" s="253">
        <v>-70.039999999999054</v>
      </c>
      <c r="N34" s="253">
        <v>-70.039999999999054</v>
      </c>
      <c r="O34" s="254">
        <v>-980.55999999998994</v>
      </c>
    </row>
    <row r="35" spans="1:15" ht="13" x14ac:dyDescent="0.3">
      <c r="A35" s="217"/>
      <c r="B35" s="93" t="s">
        <v>26</v>
      </c>
      <c r="C35" s="252">
        <v>-5.7405911139962225</v>
      </c>
      <c r="D35" s="253">
        <v>-7.1757388924952794</v>
      </c>
      <c r="E35" s="253">
        <v>-1.4351477784990556</v>
      </c>
      <c r="F35" s="253">
        <v>-10.046034449493391</v>
      </c>
      <c r="G35" s="253">
        <v>-4.3054433354971673</v>
      </c>
      <c r="H35" s="253">
        <v>-10.046034449493391</v>
      </c>
      <c r="I35" s="253">
        <v>-7.1757388924952794</v>
      </c>
      <c r="J35" s="253">
        <v>-7.1757388924952794</v>
      </c>
      <c r="K35" s="253">
        <v>-8.6108866709943346</v>
      </c>
      <c r="L35" s="253">
        <v>-7.1757388924952794</v>
      </c>
      <c r="M35" s="253">
        <v>-5.7405911139962225</v>
      </c>
      <c r="N35" s="253">
        <v>-5.7405911139962225</v>
      </c>
      <c r="O35" s="254">
        <v>-80.368275595947111</v>
      </c>
    </row>
    <row r="36" spans="1:15" ht="13" x14ac:dyDescent="0.3">
      <c r="A36" s="217"/>
      <c r="B36" s="93" t="s">
        <v>27</v>
      </c>
      <c r="C36" s="252">
        <v>-75.780591113995271</v>
      </c>
      <c r="D36" s="253">
        <v>-94.725738892494547</v>
      </c>
      <c r="E36" s="253">
        <v>-18.945147778498818</v>
      </c>
      <c r="F36" s="253">
        <v>-132.6160344494931</v>
      </c>
      <c r="G36" s="253">
        <v>-56.835443335496002</v>
      </c>
      <c r="H36" s="253">
        <v>-132.6160344494931</v>
      </c>
      <c r="I36" s="253">
        <v>-94.725738892494547</v>
      </c>
      <c r="J36" s="253">
        <v>-94.725738892494547</v>
      </c>
      <c r="K36" s="253">
        <v>-113.670886670992</v>
      </c>
      <c r="L36" s="253">
        <v>-94.725738892494547</v>
      </c>
      <c r="M36" s="253">
        <v>-75.780591113995271</v>
      </c>
      <c r="N36" s="253">
        <v>-75.780591113995271</v>
      </c>
      <c r="O36" s="254">
        <v>-1060.9282755959368</v>
      </c>
    </row>
    <row r="37" spans="1:15" x14ac:dyDescent="0.25">
      <c r="A37" s="217"/>
      <c r="B37" s="93" t="s">
        <v>49</v>
      </c>
      <c r="C37" s="94">
        <v>10749.96</v>
      </c>
      <c r="D37" s="82">
        <v>13437.449999999999</v>
      </c>
      <c r="E37" s="82">
        <v>2687.49</v>
      </c>
      <c r="F37" s="82">
        <v>18812.43</v>
      </c>
      <c r="G37" s="82">
        <v>8062.4699999999993</v>
      </c>
      <c r="H37" s="82">
        <v>18812.43</v>
      </c>
      <c r="I37" s="82">
        <v>13437.449999999999</v>
      </c>
      <c r="J37" s="82">
        <v>13437.449999999999</v>
      </c>
      <c r="K37" s="82">
        <v>16124.939999999999</v>
      </c>
      <c r="L37" s="82">
        <v>13437.449999999999</v>
      </c>
      <c r="M37" s="82">
        <v>10749.96</v>
      </c>
      <c r="N37" s="82">
        <v>10749.96</v>
      </c>
      <c r="O37" s="95">
        <v>150499.43999999997</v>
      </c>
    </row>
    <row r="38" spans="1:15" x14ac:dyDescent="0.25">
      <c r="A38" s="217"/>
      <c r="B38" s="93" t="s">
        <v>87</v>
      </c>
      <c r="C38" s="94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95">
        <v>0</v>
      </c>
    </row>
    <row r="39" spans="1:15" x14ac:dyDescent="0.25">
      <c r="A39" s="217"/>
      <c r="B39" s="93" t="s">
        <v>89</v>
      </c>
      <c r="C39" s="94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95">
        <v>0</v>
      </c>
    </row>
    <row r="40" spans="1:15" x14ac:dyDescent="0.25">
      <c r="A40" s="83" t="s">
        <v>19</v>
      </c>
      <c r="B40" s="83" t="s">
        <v>70</v>
      </c>
      <c r="C40" s="90">
        <v>168208.74</v>
      </c>
      <c r="D40" s="91">
        <v>168208.74</v>
      </c>
      <c r="E40" s="91">
        <v>178888.66</v>
      </c>
      <c r="F40" s="91">
        <v>165538.76</v>
      </c>
      <c r="G40" s="91">
        <v>136168.98000000001</v>
      </c>
      <c r="H40" s="91">
        <v>178888.66</v>
      </c>
      <c r="I40" s="91">
        <v>176218.68</v>
      </c>
      <c r="J40" s="91">
        <v>162868.78</v>
      </c>
      <c r="K40" s="91">
        <v>146848.9</v>
      </c>
      <c r="L40" s="91">
        <v>157528.82</v>
      </c>
      <c r="M40" s="91">
        <v>168208.74</v>
      </c>
      <c r="N40" s="91">
        <v>168208.74</v>
      </c>
      <c r="O40" s="92">
        <v>1975785.2</v>
      </c>
    </row>
    <row r="41" spans="1:15" ht="13" x14ac:dyDescent="0.3">
      <c r="A41" s="217"/>
      <c r="B41" s="93" t="s">
        <v>25</v>
      </c>
      <c r="C41" s="252">
        <v>-1103.1300000000047</v>
      </c>
      <c r="D41" s="253">
        <v>-1103.1300000000047</v>
      </c>
      <c r="E41" s="253">
        <v>-1173.1699999999837</v>
      </c>
      <c r="F41" s="253">
        <v>-1085.6199999999662</v>
      </c>
      <c r="G41" s="253">
        <v>-893.00999999998021</v>
      </c>
      <c r="H41" s="253">
        <v>-1173.1699999999837</v>
      </c>
      <c r="I41" s="253">
        <v>-1155.6600000000035</v>
      </c>
      <c r="J41" s="253">
        <v>-1068.109999999986</v>
      </c>
      <c r="K41" s="253">
        <v>-963.04999999998836</v>
      </c>
      <c r="L41" s="253">
        <v>-1033.0899999999674</v>
      </c>
      <c r="M41" s="253">
        <v>-1103.1300000000047</v>
      </c>
      <c r="N41" s="253">
        <v>-1103.1300000000047</v>
      </c>
      <c r="O41" s="254">
        <v>-12957.399999999878</v>
      </c>
    </row>
    <row r="42" spans="1:15" ht="13" x14ac:dyDescent="0.3">
      <c r="A42" s="217"/>
      <c r="B42" s="93" t="s">
        <v>26</v>
      </c>
      <c r="C42" s="252">
        <v>-90.414310045440516</v>
      </c>
      <c r="D42" s="253">
        <v>-90.414310045440516</v>
      </c>
      <c r="E42" s="253">
        <v>-96.154901159436747</v>
      </c>
      <c r="F42" s="253">
        <v>-88.979162266941458</v>
      </c>
      <c r="G42" s="253">
        <v>-73.192536703451836</v>
      </c>
      <c r="H42" s="253">
        <v>-96.154901159436747</v>
      </c>
      <c r="I42" s="253">
        <v>-94.719753380937689</v>
      </c>
      <c r="J42" s="253">
        <v>-87.5440144884424</v>
      </c>
      <c r="K42" s="253">
        <v>-78.933127817448081</v>
      </c>
      <c r="L42" s="253">
        <v>-84.673718931444299</v>
      </c>
      <c r="M42" s="253">
        <v>-90.414310045440516</v>
      </c>
      <c r="N42" s="253">
        <v>-90.414310045440516</v>
      </c>
      <c r="O42" s="254">
        <v>-1062.0093560893015</v>
      </c>
    </row>
    <row r="43" spans="1:15" ht="13" x14ac:dyDescent="0.3">
      <c r="A43" s="217"/>
      <c r="B43" s="93" t="s">
        <v>27</v>
      </c>
      <c r="C43" s="252">
        <v>-1193.5443100454452</v>
      </c>
      <c r="D43" s="253">
        <v>-1193.5443100454452</v>
      </c>
      <c r="E43" s="253">
        <v>-1269.3249011594205</v>
      </c>
      <c r="F43" s="253">
        <v>-1174.5991622669078</v>
      </c>
      <c r="G43" s="253">
        <v>-966.20253670343209</v>
      </c>
      <c r="H43" s="253">
        <v>-1269.3249011594205</v>
      </c>
      <c r="I43" s="253">
        <v>-1250.3797533809411</v>
      </c>
      <c r="J43" s="253">
        <v>-1155.6540144884284</v>
      </c>
      <c r="K43" s="253">
        <v>-1041.9831278174365</v>
      </c>
      <c r="L43" s="253">
        <v>-1117.7637189314116</v>
      </c>
      <c r="M43" s="253">
        <v>-1193.5443100454452</v>
      </c>
      <c r="N43" s="253">
        <v>-1193.5443100454452</v>
      </c>
      <c r="O43" s="254">
        <v>-14019.40935608918</v>
      </c>
    </row>
    <row r="44" spans="1:15" x14ac:dyDescent="0.25">
      <c r="A44" s="217"/>
      <c r="B44" s="93" t="s">
        <v>49</v>
      </c>
      <c r="C44" s="94">
        <v>169311.87</v>
      </c>
      <c r="D44" s="82">
        <v>169311.87</v>
      </c>
      <c r="E44" s="82">
        <v>180061.83</v>
      </c>
      <c r="F44" s="82">
        <v>166624.37999999998</v>
      </c>
      <c r="G44" s="82">
        <v>137061.99</v>
      </c>
      <c r="H44" s="82">
        <v>180061.83</v>
      </c>
      <c r="I44" s="82">
        <v>177374.34</v>
      </c>
      <c r="J44" s="82">
        <v>163936.88999999998</v>
      </c>
      <c r="K44" s="82">
        <v>147811.94999999998</v>
      </c>
      <c r="L44" s="82">
        <v>158561.90999999997</v>
      </c>
      <c r="M44" s="82">
        <v>169311.87</v>
      </c>
      <c r="N44" s="82">
        <v>169311.87</v>
      </c>
      <c r="O44" s="95">
        <v>1988742.5999999996</v>
      </c>
    </row>
    <row r="45" spans="1:15" x14ac:dyDescent="0.25">
      <c r="A45" s="217"/>
      <c r="B45" s="93" t="s">
        <v>87</v>
      </c>
      <c r="C45" s="94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95">
        <v>0</v>
      </c>
    </row>
    <row r="46" spans="1:15" x14ac:dyDescent="0.25">
      <c r="A46" s="217"/>
      <c r="B46" s="93" t="s">
        <v>89</v>
      </c>
      <c r="C46" s="94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95">
        <v>0</v>
      </c>
    </row>
    <row r="47" spans="1:15" x14ac:dyDescent="0.25">
      <c r="A47" s="83" t="s">
        <v>8</v>
      </c>
      <c r="B47" s="83" t="s">
        <v>70</v>
      </c>
      <c r="C47" s="90">
        <v>224278.32</v>
      </c>
      <c r="D47" s="91">
        <v>221608.34</v>
      </c>
      <c r="E47" s="91">
        <v>202918.48</v>
      </c>
      <c r="F47" s="91">
        <v>184228.62</v>
      </c>
      <c r="G47" s="91">
        <v>264328.02</v>
      </c>
      <c r="H47" s="91">
        <v>397827.02</v>
      </c>
      <c r="I47" s="91">
        <v>395157.04</v>
      </c>
      <c r="J47" s="91">
        <v>427196.8</v>
      </c>
      <c r="K47" s="91">
        <v>413846.9</v>
      </c>
      <c r="L47" s="91">
        <v>293697.8</v>
      </c>
      <c r="M47" s="91">
        <v>186898.6</v>
      </c>
      <c r="N47" s="91">
        <v>176218.68</v>
      </c>
      <c r="O47" s="92">
        <v>3388204.62</v>
      </c>
    </row>
    <row r="48" spans="1:15" ht="13" x14ac:dyDescent="0.3">
      <c r="A48" s="217"/>
      <c r="B48" s="93" t="s">
        <v>25</v>
      </c>
      <c r="C48" s="252">
        <v>-1470.8399999999674</v>
      </c>
      <c r="D48" s="253">
        <v>-1453.3299999999872</v>
      </c>
      <c r="E48" s="253">
        <v>-1330.7599999999802</v>
      </c>
      <c r="F48" s="253">
        <v>-1208.1900000000023</v>
      </c>
      <c r="G48" s="253">
        <v>-1733.4899999999325</v>
      </c>
      <c r="H48" s="253">
        <v>-2608.9899999999325</v>
      </c>
      <c r="I48" s="253">
        <v>-2591.4799999999814</v>
      </c>
      <c r="J48" s="253">
        <v>-2801.5999999999767</v>
      </c>
      <c r="K48" s="253">
        <v>-2714.0499999999302</v>
      </c>
      <c r="L48" s="253">
        <v>-1926.0999999999767</v>
      </c>
      <c r="M48" s="253">
        <v>-1225.6999999999825</v>
      </c>
      <c r="N48" s="253">
        <v>-1155.6600000000035</v>
      </c>
      <c r="O48" s="254">
        <v>-22220.189999999653</v>
      </c>
    </row>
    <row r="49" spans="1:15" ht="13" x14ac:dyDescent="0.3">
      <c r="A49" s="217"/>
      <c r="B49" s="93" t="s">
        <v>26</v>
      </c>
      <c r="C49" s="252">
        <v>-120.55241339392069</v>
      </c>
      <c r="D49" s="253">
        <v>-119.11726561542163</v>
      </c>
      <c r="E49" s="253">
        <v>-109.07123116592825</v>
      </c>
      <c r="F49" s="253">
        <v>-99.025196716434849</v>
      </c>
      <c r="G49" s="253">
        <v>-142.07963007140654</v>
      </c>
      <c r="H49" s="253">
        <v>-213.83701899635932</v>
      </c>
      <c r="I49" s="253">
        <v>-212.40187121786025</v>
      </c>
      <c r="J49" s="253">
        <v>-229.62364455984894</v>
      </c>
      <c r="K49" s="253">
        <v>-222.44790566735364</v>
      </c>
      <c r="L49" s="253">
        <v>-157.86625563489616</v>
      </c>
      <c r="M49" s="253">
        <v>-100.46034449493391</v>
      </c>
      <c r="N49" s="253">
        <v>-94.719753380937689</v>
      </c>
      <c r="O49" s="254">
        <v>-1821.2025309153016</v>
      </c>
    </row>
    <row r="50" spans="1:15" ht="13" x14ac:dyDescent="0.3">
      <c r="A50" s="217"/>
      <c r="B50" s="93" t="s">
        <v>27</v>
      </c>
      <c r="C50" s="252">
        <v>-1591.3924133938881</v>
      </c>
      <c r="D50" s="253">
        <v>-1572.4472656154089</v>
      </c>
      <c r="E50" s="253">
        <v>-1439.8312311659085</v>
      </c>
      <c r="F50" s="253">
        <v>-1307.2151967164373</v>
      </c>
      <c r="G50" s="253">
        <v>-1875.5696300713389</v>
      </c>
      <c r="H50" s="253">
        <v>-2822.8270189962918</v>
      </c>
      <c r="I50" s="253">
        <v>-2803.8818712178418</v>
      </c>
      <c r="J50" s="253">
        <v>-3031.2236445598255</v>
      </c>
      <c r="K50" s="253">
        <v>-2936.4979056672837</v>
      </c>
      <c r="L50" s="253">
        <v>-2083.9662556348731</v>
      </c>
      <c r="M50" s="253">
        <v>-1326.1603444949164</v>
      </c>
      <c r="N50" s="253">
        <v>-1250.3797533809411</v>
      </c>
      <c r="O50" s="254">
        <v>-24041.392530914956</v>
      </c>
    </row>
    <row r="51" spans="1:15" x14ac:dyDescent="0.25">
      <c r="A51" s="217"/>
      <c r="B51" s="93" t="s">
        <v>49</v>
      </c>
      <c r="C51" s="94">
        <v>225749.15999999997</v>
      </c>
      <c r="D51" s="82">
        <v>223061.66999999998</v>
      </c>
      <c r="E51" s="82">
        <v>204249.24</v>
      </c>
      <c r="F51" s="82">
        <v>185436.81</v>
      </c>
      <c r="G51" s="82">
        <v>266061.50999999995</v>
      </c>
      <c r="H51" s="82">
        <v>400436.00999999995</v>
      </c>
      <c r="I51" s="82">
        <v>397748.51999999996</v>
      </c>
      <c r="J51" s="82">
        <v>429998.39999999997</v>
      </c>
      <c r="K51" s="82">
        <v>416560.94999999995</v>
      </c>
      <c r="L51" s="82">
        <v>295623.89999999997</v>
      </c>
      <c r="M51" s="82">
        <v>188124.3</v>
      </c>
      <c r="N51" s="82">
        <v>177374.34</v>
      </c>
      <c r="O51" s="95">
        <v>3410424.8099999991</v>
      </c>
    </row>
    <row r="52" spans="1:15" x14ac:dyDescent="0.25">
      <c r="A52" s="217"/>
      <c r="B52" s="93" t="s">
        <v>87</v>
      </c>
      <c r="C52" s="94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95">
        <v>0</v>
      </c>
    </row>
    <row r="53" spans="1:15" x14ac:dyDescent="0.25">
      <c r="A53" s="217"/>
      <c r="B53" s="93" t="s">
        <v>89</v>
      </c>
      <c r="C53" s="94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95">
        <v>0</v>
      </c>
    </row>
    <row r="54" spans="1:15" x14ac:dyDescent="0.25">
      <c r="A54" s="83" t="s">
        <v>21</v>
      </c>
      <c r="B54" s="83" t="s">
        <v>70</v>
      </c>
      <c r="C54" s="90">
        <v>7502643.7999999998</v>
      </c>
      <c r="D54" s="91">
        <v>7398514.5800000001</v>
      </c>
      <c r="E54" s="91">
        <v>6378582.2199999997</v>
      </c>
      <c r="F54" s="91">
        <v>6386592.1600000001</v>
      </c>
      <c r="G54" s="91">
        <v>8626705.3800000008</v>
      </c>
      <c r="H54" s="91">
        <v>10946918</v>
      </c>
      <c r="I54" s="91">
        <v>10647880.24</v>
      </c>
      <c r="J54" s="91">
        <v>11387464.699999999</v>
      </c>
      <c r="K54" s="91">
        <v>10722639.68</v>
      </c>
      <c r="L54" s="91">
        <v>8290287.9000000004</v>
      </c>
      <c r="M54" s="91">
        <v>6709659.7400000002</v>
      </c>
      <c r="N54" s="91">
        <v>6605530.5200000005</v>
      </c>
      <c r="O54" s="92">
        <v>101603418.91999999</v>
      </c>
    </row>
    <row r="55" spans="1:15" ht="13" x14ac:dyDescent="0.3">
      <c r="A55" s="217"/>
      <c r="B55" s="93" t="s">
        <v>25</v>
      </c>
      <c r="C55" s="252">
        <v>-49203.099999999627</v>
      </c>
      <c r="D55" s="253">
        <v>-48520.209999999031</v>
      </c>
      <c r="E55" s="253">
        <v>-41831.389999999665</v>
      </c>
      <c r="F55" s="253">
        <v>-41883.919999998994</v>
      </c>
      <c r="G55" s="253">
        <v>-56574.809999998659</v>
      </c>
      <c r="H55" s="253">
        <v>-71791</v>
      </c>
      <c r="I55" s="253">
        <v>-69829.879999998957</v>
      </c>
      <c r="J55" s="253">
        <v>-74680.150000000373</v>
      </c>
      <c r="K55" s="253">
        <v>-70320.160000000149</v>
      </c>
      <c r="L55" s="253">
        <v>-54368.549999998882</v>
      </c>
      <c r="M55" s="253">
        <v>-44002.629999998957</v>
      </c>
      <c r="N55" s="253">
        <v>-43319.739999999292</v>
      </c>
      <c r="O55" s="254">
        <v>-666325.53999999259</v>
      </c>
    </row>
    <row r="56" spans="1:15" ht="13" x14ac:dyDescent="0.3">
      <c r="A56" s="217"/>
      <c r="B56" s="93" t="s">
        <v>26</v>
      </c>
      <c r="C56" s="252">
        <v>-4032.7652575823467</v>
      </c>
      <c r="D56" s="253">
        <v>-3976.7944942208837</v>
      </c>
      <c r="E56" s="253">
        <v>-3428.5680428342444</v>
      </c>
      <c r="F56" s="253">
        <v>-3432.8734861697417</v>
      </c>
      <c r="G56" s="253">
        <v>-4636.9624723304496</v>
      </c>
      <c r="H56" s="253">
        <v>-5884.1058918461285</v>
      </c>
      <c r="I56" s="253">
        <v>-5723.3693406542352</v>
      </c>
      <c r="J56" s="253">
        <v>-6120.9052752984726</v>
      </c>
      <c r="K56" s="253">
        <v>-5763.5534784522088</v>
      </c>
      <c r="L56" s="253">
        <v>-4456.1338522395681</v>
      </c>
      <c r="M56" s="253">
        <v>-3606.5263673681275</v>
      </c>
      <c r="N56" s="253">
        <v>-3550.555604006664</v>
      </c>
      <c r="O56" s="254">
        <v>-54613.113563003069</v>
      </c>
    </row>
    <row r="57" spans="1:15" ht="13" x14ac:dyDescent="0.3">
      <c r="A57" s="217"/>
      <c r="B57" s="93" t="s">
        <v>27</v>
      </c>
      <c r="C57" s="252">
        <v>-53235.865257581972</v>
      </c>
      <c r="D57" s="253">
        <v>-52497.004494219917</v>
      </c>
      <c r="E57" s="253">
        <v>-45259.95804283391</v>
      </c>
      <c r="F57" s="253">
        <v>-45316.793486168739</v>
      </c>
      <c r="G57" s="253">
        <v>-61211.77247232911</v>
      </c>
      <c r="H57" s="253">
        <v>-77675.105891846135</v>
      </c>
      <c r="I57" s="253">
        <v>-75553.249340653187</v>
      </c>
      <c r="J57" s="253">
        <v>-80801.055275298844</v>
      </c>
      <c r="K57" s="253">
        <v>-76083.713478452351</v>
      </c>
      <c r="L57" s="253">
        <v>-58824.68385223845</v>
      </c>
      <c r="M57" s="253">
        <v>-47609.156367367083</v>
      </c>
      <c r="N57" s="253">
        <v>-46870.295604005958</v>
      </c>
      <c r="O57" s="254">
        <v>-720938.65356299572</v>
      </c>
    </row>
    <row r="58" spans="1:15" x14ac:dyDescent="0.25">
      <c r="A58" s="217"/>
      <c r="B58" s="93" t="s">
        <v>49</v>
      </c>
      <c r="C58" s="94">
        <v>7551846.8999999994</v>
      </c>
      <c r="D58" s="82">
        <v>7447034.7899999991</v>
      </c>
      <c r="E58" s="82">
        <v>6420413.6099999994</v>
      </c>
      <c r="F58" s="82">
        <v>6428476.0799999991</v>
      </c>
      <c r="G58" s="82">
        <v>8683280.1899999995</v>
      </c>
      <c r="H58" s="82">
        <v>11018709</v>
      </c>
      <c r="I58" s="82">
        <v>10717710.119999999</v>
      </c>
      <c r="J58" s="82">
        <v>11462144.85</v>
      </c>
      <c r="K58" s="82">
        <v>10792959.84</v>
      </c>
      <c r="L58" s="82">
        <v>8344656.4499999993</v>
      </c>
      <c r="M58" s="82">
        <v>6753662.3699999992</v>
      </c>
      <c r="N58" s="82">
        <v>6648850.2599999998</v>
      </c>
      <c r="O58" s="95">
        <v>102269744.46000001</v>
      </c>
    </row>
    <row r="59" spans="1:15" x14ac:dyDescent="0.25">
      <c r="A59" s="217"/>
      <c r="B59" s="93" t="s">
        <v>87</v>
      </c>
      <c r="C59" s="94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95">
        <v>0</v>
      </c>
    </row>
    <row r="60" spans="1:15" x14ac:dyDescent="0.25">
      <c r="A60" s="217"/>
      <c r="B60" s="93" t="s">
        <v>89</v>
      </c>
      <c r="C60" s="94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95">
        <v>0</v>
      </c>
    </row>
    <row r="61" spans="1:15" x14ac:dyDescent="0.25">
      <c r="A61" s="83" t="s">
        <v>22</v>
      </c>
      <c r="B61" s="83" t="s">
        <v>70</v>
      </c>
      <c r="C61" s="90">
        <v>7273025.5200000005</v>
      </c>
      <c r="D61" s="91">
        <v>7361134.8600000003</v>
      </c>
      <c r="E61" s="91">
        <v>7051417.1799999997</v>
      </c>
      <c r="F61" s="91">
        <v>6453341.6600000001</v>
      </c>
      <c r="G61" s="91">
        <v>7593423.1200000001</v>
      </c>
      <c r="H61" s="91">
        <v>9344930</v>
      </c>
      <c r="I61" s="91">
        <v>9529158.6199999992</v>
      </c>
      <c r="J61" s="91">
        <v>10055144.68</v>
      </c>
      <c r="K61" s="91">
        <v>9227450.8800000008</v>
      </c>
      <c r="L61" s="91">
        <v>7502643.7999999998</v>
      </c>
      <c r="M61" s="91">
        <v>6672280.0200000005</v>
      </c>
      <c r="N61" s="91">
        <v>6760389.3600000003</v>
      </c>
      <c r="O61" s="92">
        <v>94824339.699999988</v>
      </c>
    </row>
    <row r="62" spans="1:15" ht="13" x14ac:dyDescent="0.3">
      <c r="A62" s="217"/>
      <c r="B62" s="93" t="s">
        <v>25</v>
      </c>
      <c r="C62" s="252">
        <v>-47697.239999999292</v>
      </c>
      <c r="D62" s="253">
        <v>-48275.069999999367</v>
      </c>
      <c r="E62" s="253">
        <v>-46243.910000000149</v>
      </c>
      <c r="F62" s="253">
        <v>-42321.669999998994</v>
      </c>
      <c r="G62" s="253">
        <v>-49798.439999999478</v>
      </c>
      <c r="H62" s="253">
        <v>-61285</v>
      </c>
      <c r="I62" s="253">
        <v>-62493.189999999478</v>
      </c>
      <c r="J62" s="253">
        <v>-65942.660000000149</v>
      </c>
      <c r="K62" s="253">
        <v>-60514.559999998659</v>
      </c>
      <c r="L62" s="253">
        <v>-49203.099999999627</v>
      </c>
      <c r="M62" s="253">
        <v>-43757.489999999292</v>
      </c>
      <c r="N62" s="253">
        <v>-44335.319999999367</v>
      </c>
      <c r="O62" s="254">
        <v>-621867.64999999385</v>
      </c>
    </row>
    <row r="63" spans="1:15" ht="13" x14ac:dyDescent="0.3">
      <c r="A63" s="217"/>
      <c r="B63" s="93" t="s">
        <v>26</v>
      </c>
      <c r="C63" s="252">
        <v>-3909.3425486314281</v>
      </c>
      <c r="D63" s="253">
        <v>-3956.702425321897</v>
      </c>
      <c r="E63" s="253">
        <v>-3790.2252830160064</v>
      </c>
      <c r="F63" s="253">
        <v>-3468.7521806322179</v>
      </c>
      <c r="G63" s="253">
        <v>-4081.5602820513145</v>
      </c>
      <c r="H63" s="253">
        <v>-5023.0172247466953</v>
      </c>
      <c r="I63" s="253">
        <v>-5122.0424214631303</v>
      </c>
      <c r="J63" s="253">
        <v>-5404.7665338274437</v>
      </c>
      <c r="K63" s="253">
        <v>-4959.8707224927375</v>
      </c>
      <c r="L63" s="253">
        <v>-4032.7652575823467</v>
      </c>
      <c r="M63" s="253">
        <v>-3586.4342984691407</v>
      </c>
      <c r="N63" s="253">
        <v>-3633.7941751596095</v>
      </c>
      <c r="O63" s="254">
        <v>-50969.273353393961</v>
      </c>
    </row>
    <row r="64" spans="1:15" ht="13" x14ac:dyDescent="0.3">
      <c r="A64" s="217"/>
      <c r="B64" s="93" t="s">
        <v>27</v>
      </c>
      <c r="C64" s="252">
        <v>-51606.582548630722</v>
      </c>
      <c r="D64" s="253">
        <v>-52231.772425321265</v>
      </c>
      <c r="E64" s="253">
        <v>-50034.135283016156</v>
      </c>
      <c r="F64" s="253">
        <v>-45790.422180631213</v>
      </c>
      <c r="G64" s="253">
        <v>-53880.000282050794</v>
      </c>
      <c r="H64" s="253">
        <v>-66308.017224746698</v>
      </c>
      <c r="I64" s="253">
        <v>-67615.232421462613</v>
      </c>
      <c r="J64" s="253">
        <v>-71347.426533827587</v>
      </c>
      <c r="K64" s="253">
        <v>-65474.430722491394</v>
      </c>
      <c r="L64" s="253">
        <v>-53235.865257581972</v>
      </c>
      <c r="M64" s="253">
        <v>-47343.924298468432</v>
      </c>
      <c r="N64" s="253">
        <v>-47969.114175158975</v>
      </c>
      <c r="O64" s="254">
        <v>-672836.92335338774</v>
      </c>
    </row>
    <row r="65" spans="1:15" x14ac:dyDescent="0.25">
      <c r="A65" s="217"/>
      <c r="B65" s="93" t="s">
        <v>49</v>
      </c>
      <c r="C65" s="94">
        <v>7320722.7599999998</v>
      </c>
      <c r="D65" s="82">
        <v>7409409.9299999997</v>
      </c>
      <c r="E65" s="82">
        <v>7097661.0899999999</v>
      </c>
      <c r="F65" s="82">
        <v>6495663.3299999991</v>
      </c>
      <c r="G65" s="82">
        <v>7643221.5599999996</v>
      </c>
      <c r="H65" s="82">
        <v>9406215</v>
      </c>
      <c r="I65" s="82">
        <v>9591651.8099999987</v>
      </c>
      <c r="J65" s="82">
        <v>10121087.34</v>
      </c>
      <c r="K65" s="82">
        <v>9287965.4399999995</v>
      </c>
      <c r="L65" s="82">
        <v>7551846.8999999994</v>
      </c>
      <c r="M65" s="82">
        <v>6716037.5099999998</v>
      </c>
      <c r="N65" s="82">
        <v>6804724.6799999997</v>
      </c>
      <c r="O65" s="95">
        <v>95446207.350000024</v>
      </c>
    </row>
    <row r="66" spans="1:15" x14ac:dyDescent="0.25">
      <c r="A66" s="217"/>
      <c r="B66" s="93" t="s">
        <v>87</v>
      </c>
      <c r="C66" s="94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95">
        <v>0</v>
      </c>
    </row>
    <row r="67" spans="1:15" x14ac:dyDescent="0.25">
      <c r="A67" s="217"/>
      <c r="B67" s="93" t="s">
        <v>89</v>
      </c>
      <c r="C67" s="94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95">
        <v>0</v>
      </c>
    </row>
    <row r="68" spans="1:15" x14ac:dyDescent="0.25">
      <c r="A68" s="83" t="s">
        <v>9</v>
      </c>
      <c r="B68" s="83" t="s">
        <v>70</v>
      </c>
      <c r="C68" s="90">
        <v>141508.94</v>
      </c>
      <c r="D68" s="91">
        <v>146848.9</v>
      </c>
      <c r="E68" s="91">
        <v>122819.08</v>
      </c>
      <c r="F68" s="91">
        <v>88109.34</v>
      </c>
      <c r="G68" s="91">
        <v>117479.12</v>
      </c>
      <c r="H68" s="91">
        <v>146848.9</v>
      </c>
      <c r="I68" s="91">
        <v>152188.86000000002</v>
      </c>
      <c r="J68" s="91">
        <v>149518.88</v>
      </c>
      <c r="K68" s="91">
        <v>160198.79999999999</v>
      </c>
      <c r="L68" s="91">
        <v>128159.04000000001</v>
      </c>
      <c r="M68" s="91">
        <v>144178.92000000001</v>
      </c>
      <c r="N68" s="91">
        <v>146848.9</v>
      </c>
      <c r="O68" s="92">
        <v>1644707.68</v>
      </c>
    </row>
    <row r="69" spans="1:15" ht="13" x14ac:dyDescent="0.3">
      <c r="A69" s="217"/>
      <c r="B69" s="93" t="s">
        <v>25</v>
      </c>
      <c r="C69" s="252">
        <v>-928.02999999999884</v>
      </c>
      <c r="D69" s="253">
        <v>-963.04999999998836</v>
      </c>
      <c r="E69" s="253">
        <v>-805.45999999999185</v>
      </c>
      <c r="F69" s="253">
        <v>-577.83000000000175</v>
      </c>
      <c r="G69" s="253">
        <v>-770.44000000000233</v>
      </c>
      <c r="H69" s="253">
        <v>-963.04999999998836</v>
      </c>
      <c r="I69" s="253">
        <v>-998.06999999997788</v>
      </c>
      <c r="J69" s="253">
        <v>-980.55999999999767</v>
      </c>
      <c r="K69" s="253">
        <v>-1050.6000000000058</v>
      </c>
      <c r="L69" s="253">
        <v>-840.47999999998137</v>
      </c>
      <c r="M69" s="253">
        <v>-945.53999999997905</v>
      </c>
      <c r="N69" s="253">
        <v>-963.04999999998836</v>
      </c>
      <c r="O69" s="254">
        <v>-10786.159999999902</v>
      </c>
    </row>
    <row r="70" spans="1:15" ht="13" x14ac:dyDescent="0.3">
      <c r="A70" s="217"/>
      <c r="B70" s="93" t="s">
        <v>26</v>
      </c>
      <c r="C70" s="252">
        <v>-76.062832260449966</v>
      </c>
      <c r="D70" s="253">
        <v>-78.933127817448081</v>
      </c>
      <c r="E70" s="253">
        <v>-66.016797810956575</v>
      </c>
      <c r="F70" s="253">
        <v>-47.359876690468845</v>
      </c>
      <c r="G70" s="253">
        <v>-63.14650225395846</v>
      </c>
      <c r="H70" s="253">
        <v>-78.933127817448081</v>
      </c>
      <c r="I70" s="253">
        <v>-81.803423374446183</v>
      </c>
      <c r="J70" s="253">
        <v>-80.368275595947125</v>
      </c>
      <c r="K70" s="253">
        <v>-86.108866709943342</v>
      </c>
      <c r="L70" s="253">
        <v>-68.887093367954677</v>
      </c>
      <c r="M70" s="253">
        <v>-77.497980038949024</v>
      </c>
      <c r="N70" s="253">
        <v>-78.933127817448081</v>
      </c>
      <c r="O70" s="254">
        <v>-884.05103155541826</v>
      </c>
    </row>
    <row r="71" spans="1:15" ht="13" x14ac:dyDescent="0.3">
      <c r="A71" s="217"/>
      <c r="B71" s="93" t="s">
        <v>27</v>
      </c>
      <c r="C71" s="252">
        <v>-1004.0928322604489</v>
      </c>
      <c r="D71" s="253">
        <v>-1041.9831278174365</v>
      </c>
      <c r="E71" s="253">
        <v>-871.47679781094848</v>
      </c>
      <c r="F71" s="253">
        <v>-625.18987669047056</v>
      </c>
      <c r="G71" s="253">
        <v>-833.58650225396082</v>
      </c>
      <c r="H71" s="253">
        <v>-1041.9831278174365</v>
      </c>
      <c r="I71" s="253">
        <v>-1079.873423374424</v>
      </c>
      <c r="J71" s="253">
        <v>-1060.9282755959448</v>
      </c>
      <c r="K71" s="253">
        <v>-1136.7088667099492</v>
      </c>
      <c r="L71" s="253">
        <v>-909.36709336793604</v>
      </c>
      <c r="M71" s="253">
        <v>-1023.037980038928</v>
      </c>
      <c r="N71" s="253">
        <v>-1041.9831278174365</v>
      </c>
      <c r="O71" s="254">
        <v>-11670.21103155532</v>
      </c>
    </row>
    <row r="72" spans="1:15" x14ac:dyDescent="0.25">
      <c r="A72" s="217"/>
      <c r="B72" s="93" t="s">
        <v>49</v>
      </c>
      <c r="C72" s="94">
        <v>142436.97</v>
      </c>
      <c r="D72" s="82">
        <v>147811.94999999998</v>
      </c>
      <c r="E72" s="82">
        <v>123624.54</v>
      </c>
      <c r="F72" s="82">
        <v>88687.17</v>
      </c>
      <c r="G72" s="82">
        <v>118249.56</v>
      </c>
      <c r="H72" s="82">
        <v>147811.94999999998</v>
      </c>
      <c r="I72" s="82">
        <v>153186.93</v>
      </c>
      <c r="J72" s="82">
        <v>150499.44</v>
      </c>
      <c r="K72" s="82">
        <v>161249.4</v>
      </c>
      <c r="L72" s="82">
        <v>128999.51999999999</v>
      </c>
      <c r="M72" s="82">
        <v>145124.46</v>
      </c>
      <c r="N72" s="82">
        <v>147811.94999999998</v>
      </c>
      <c r="O72" s="95">
        <v>1655493.8399999996</v>
      </c>
    </row>
    <row r="73" spans="1:15" x14ac:dyDescent="0.25">
      <c r="A73" s="217"/>
      <c r="B73" s="93" t="s">
        <v>87</v>
      </c>
      <c r="C73" s="94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95">
        <v>0</v>
      </c>
    </row>
    <row r="74" spans="1:15" x14ac:dyDescent="0.25">
      <c r="A74" s="217"/>
      <c r="B74" s="93" t="s">
        <v>89</v>
      </c>
      <c r="C74" s="94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95">
        <v>0</v>
      </c>
    </row>
    <row r="75" spans="1:15" x14ac:dyDescent="0.25">
      <c r="A75" s="83" t="s">
        <v>54</v>
      </c>
      <c r="B75" s="83" t="s">
        <v>70</v>
      </c>
      <c r="C75" s="90">
        <v>301707.74</v>
      </c>
      <c r="D75" s="91">
        <v>288357.84000000003</v>
      </c>
      <c r="E75" s="91">
        <v>256318.08000000002</v>
      </c>
      <c r="F75" s="91">
        <v>242968.18</v>
      </c>
      <c r="G75" s="91">
        <v>333747.5</v>
      </c>
      <c r="H75" s="91">
        <v>445886.66</v>
      </c>
      <c r="I75" s="91">
        <v>427196.8</v>
      </c>
      <c r="J75" s="91">
        <v>483266.38</v>
      </c>
      <c r="K75" s="91">
        <v>419186.86</v>
      </c>
      <c r="L75" s="91">
        <v>315057.64</v>
      </c>
      <c r="M75" s="91">
        <v>272337.96000000002</v>
      </c>
      <c r="N75" s="91">
        <v>264328.02</v>
      </c>
      <c r="O75" s="92">
        <v>4050359.6599999997</v>
      </c>
    </row>
    <row r="76" spans="1:15" x14ac:dyDescent="0.25">
      <c r="A76" s="217"/>
      <c r="B76" s="93" t="s">
        <v>25</v>
      </c>
      <c r="C76" s="94">
        <v>-1978.6300000000047</v>
      </c>
      <c r="D76" s="82">
        <v>-1891.0799999999581</v>
      </c>
      <c r="E76" s="82">
        <v>-1680.9599999999627</v>
      </c>
      <c r="F76" s="82">
        <v>-1593.4099999999744</v>
      </c>
      <c r="G76" s="82">
        <v>-2188.75</v>
      </c>
      <c r="H76" s="82">
        <v>-2924.1699999999837</v>
      </c>
      <c r="I76" s="82">
        <v>-2801.5999999999767</v>
      </c>
      <c r="J76" s="82">
        <v>-3169.3099999999395</v>
      </c>
      <c r="K76" s="82">
        <v>-2749.070000000007</v>
      </c>
      <c r="L76" s="82">
        <v>-2066.1799999999348</v>
      </c>
      <c r="M76" s="82">
        <v>-1786.0199999999604</v>
      </c>
      <c r="N76" s="82">
        <v>-1733.4899999999325</v>
      </c>
      <c r="O76" s="95">
        <v>-26562.669999999634</v>
      </c>
    </row>
    <row r="77" spans="1:15" x14ac:dyDescent="0.25">
      <c r="A77" s="217"/>
      <c r="B77" s="93" t="s">
        <v>26</v>
      </c>
      <c r="C77" s="94">
        <v>-162.17169897039329</v>
      </c>
      <c r="D77" s="82">
        <v>-154.99596007789805</v>
      </c>
      <c r="E77" s="82">
        <v>-137.77418673590935</v>
      </c>
      <c r="F77" s="82">
        <v>-130.59844784341408</v>
      </c>
      <c r="G77" s="82">
        <v>-179.39347231238199</v>
      </c>
      <c r="H77" s="82">
        <v>-239.66967900934233</v>
      </c>
      <c r="I77" s="82">
        <v>-229.62364455984894</v>
      </c>
      <c r="J77" s="82">
        <v>-259.76174790832908</v>
      </c>
      <c r="K77" s="82">
        <v>-225.31820122435175</v>
      </c>
      <c r="L77" s="82">
        <v>-169.3474378628886</v>
      </c>
      <c r="M77" s="82">
        <v>-146.38507340690367</v>
      </c>
      <c r="N77" s="82">
        <v>-142.07963007140654</v>
      </c>
      <c r="O77" s="95">
        <v>-2177.1191799830676</v>
      </c>
    </row>
    <row r="78" spans="1:15" x14ac:dyDescent="0.25">
      <c r="A78" s="217"/>
      <c r="B78" s="93" t="s">
        <v>27</v>
      </c>
      <c r="C78" s="94">
        <v>-2140.8016989703979</v>
      </c>
      <c r="D78" s="82">
        <v>-2046.0759600778561</v>
      </c>
      <c r="E78" s="82">
        <v>-1818.7341867358721</v>
      </c>
      <c r="F78" s="82">
        <v>-1724.0084478433885</v>
      </c>
      <c r="G78" s="82">
        <v>-2368.1434723123821</v>
      </c>
      <c r="H78" s="82">
        <v>-3163.8396790093261</v>
      </c>
      <c r="I78" s="82">
        <v>-3031.2236445598255</v>
      </c>
      <c r="J78" s="82">
        <v>-3429.0717479082687</v>
      </c>
      <c r="K78" s="82">
        <v>-2974.3882012243589</v>
      </c>
      <c r="L78" s="82">
        <v>-2235.5274378628233</v>
      </c>
      <c r="M78" s="82">
        <v>-1932.4050734068642</v>
      </c>
      <c r="N78" s="82">
        <v>-1875.5696300713389</v>
      </c>
      <c r="O78" s="95">
        <v>-28739.789179982705</v>
      </c>
    </row>
    <row r="79" spans="1:15" x14ac:dyDescent="0.25">
      <c r="A79" s="217"/>
      <c r="B79" s="93" t="s">
        <v>49</v>
      </c>
      <c r="C79" s="94">
        <v>303686.37</v>
      </c>
      <c r="D79" s="82">
        <v>290248.92</v>
      </c>
      <c r="E79" s="82">
        <v>257999.03999999998</v>
      </c>
      <c r="F79" s="82">
        <v>244561.58999999997</v>
      </c>
      <c r="G79" s="82">
        <v>335936.25</v>
      </c>
      <c r="H79" s="82">
        <v>448810.82999999996</v>
      </c>
      <c r="I79" s="82">
        <v>429998.39999999997</v>
      </c>
      <c r="J79" s="82">
        <v>486435.68999999994</v>
      </c>
      <c r="K79" s="82">
        <v>421935.93</v>
      </c>
      <c r="L79" s="82">
        <v>317123.81999999995</v>
      </c>
      <c r="M79" s="82">
        <v>274123.98</v>
      </c>
      <c r="N79" s="82">
        <v>266061.50999999995</v>
      </c>
      <c r="O79" s="95">
        <v>4076922.3299999996</v>
      </c>
    </row>
    <row r="80" spans="1:15" x14ac:dyDescent="0.25">
      <c r="A80" s="217"/>
      <c r="B80" s="93" t="s">
        <v>87</v>
      </c>
      <c r="C80" s="94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95">
        <v>0</v>
      </c>
    </row>
    <row r="81" spans="1:15" x14ac:dyDescent="0.25">
      <c r="A81" s="217"/>
      <c r="B81" s="93" t="s">
        <v>89</v>
      </c>
      <c r="C81" s="94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95">
        <v>0</v>
      </c>
    </row>
    <row r="82" spans="1:15" x14ac:dyDescent="0.25">
      <c r="A82" s="83" t="s">
        <v>55</v>
      </c>
      <c r="B82" s="83" t="s">
        <v>70</v>
      </c>
      <c r="C82" s="90">
        <v>18689.86</v>
      </c>
      <c r="D82" s="91">
        <v>26699.8</v>
      </c>
      <c r="E82" s="91">
        <v>21359.84</v>
      </c>
      <c r="F82" s="91">
        <v>21359.84</v>
      </c>
      <c r="G82" s="91">
        <v>26699.8</v>
      </c>
      <c r="H82" s="91">
        <v>32039.760000000002</v>
      </c>
      <c r="I82" s="91">
        <v>37379.72</v>
      </c>
      <c r="J82" s="91">
        <v>34709.74</v>
      </c>
      <c r="K82" s="91">
        <v>34709.74</v>
      </c>
      <c r="L82" s="91">
        <v>29369.78</v>
      </c>
      <c r="M82" s="91">
        <v>18689.86</v>
      </c>
      <c r="N82" s="91">
        <v>21359.84</v>
      </c>
      <c r="O82" s="92">
        <v>323067.58</v>
      </c>
    </row>
    <row r="83" spans="1:15" x14ac:dyDescent="0.25">
      <c r="A83" s="217"/>
      <c r="B83" s="93" t="s">
        <v>25</v>
      </c>
      <c r="C83" s="94">
        <v>-122.56999999999971</v>
      </c>
      <c r="D83" s="82">
        <v>-175.09999999999854</v>
      </c>
      <c r="E83" s="82">
        <v>-140.07999999999811</v>
      </c>
      <c r="F83" s="82">
        <v>-140.07999999999811</v>
      </c>
      <c r="G83" s="82">
        <v>-175.09999999999854</v>
      </c>
      <c r="H83" s="82">
        <v>-210.11999999999534</v>
      </c>
      <c r="I83" s="82">
        <v>-245.13999999999942</v>
      </c>
      <c r="J83" s="82">
        <v>-227.62999999999738</v>
      </c>
      <c r="K83" s="82">
        <v>-227.62999999999738</v>
      </c>
      <c r="L83" s="82">
        <v>-192.61000000000058</v>
      </c>
      <c r="M83" s="82">
        <v>-122.56999999999971</v>
      </c>
      <c r="N83" s="82">
        <v>-140.07999999999811</v>
      </c>
      <c r="O83" s="95">
        <v>-2118.7099999999809</v>
      </c>
    </row>
    <row r="84" spans="1:15" x14ac:dyDescent="0.25">
      <c r="A84" s="217"/>
      <c r="B84" s="93" t="s">
        <v>26</v>
      </c>
      <c r="C84" s="94">
        <v>-10.046034449493391</v>
      </c>
      <c r="D84" s="82">
        <v>-14.351477784990559</v>
      </c>
      <c r="E84" s="82">
        <v>-11.481182227992445</v>
      </c>
      <c r="F84" s="82">
        <v>-11.481182227992445</v>
      </c>
      <c r="G84" s="82">
        <v>-14.351477784990559</v>
      </c>
      <c r="H84" s="82">
        <v>-17.221773341988669</v>
      </c>
      <c r="I84" s="82">
        <v>-20.092068898986781</v>
      </c>
      <c r="J84" s="82">
        <v>-18.656921120487723</v>
      </c>
      <c r="K84" s="82">
        <v>-18.656921120487723</v>
      </c>
      <c r="L84" s="82">
        <v>-15.786625563489615</v>
      </c>
      <c r="M84" s="82">
        <v>-10.046034449493391</v>
      </c>
      <c r="N84" s="82">
        <v>-11.481182227992445</v>
      </c>
      <c r="O84" s="95">
        <v>-173.65288119838576</v>
      </c>
    </row>
    <row r="85" spans="1:15" x14ac:dyDescent="0.25">
      <c r="A85" s="217"/>
      <c r="B85" s="93" t="s">
        <v>27</v>
      </c>
      <c r="C85" s="94">
        <v>-132.6160344494931</v>
      </c>
      <c r="D85" s="82">
        <v>-189.45147778498909</v>
      </c>
      <c r="E85" s="82">
        <v>-151.56118222799054</v>
      </c>
      <c r="F85" s="82">
        <v>-151.56118222799054</v>
      </c>
      <c r="G85" s="82">
        <v>-189.45147778498909</v>
      </c>
      <c r="H85" s="82">
        <v>-227.34177334198401</v>
      </c>
      <c r="I85" s="82">
        <v>-265.2320688989862</v>
      </c>
      <c r="J85" s="82">
        <v>-246.28692112048509</v>
      </c>
      <c r="K85" s="82">
        <v>-246.28692112048509</v>
      </c>
      <c r="L85" s="82">
        <v>-208.3966255634902</v>
      </c>
      <c r="M85" s="82">
        <v>-132.6160344494931</v>
      </c>
      <c r="N85" s="82">
        <v>-151.56118222799054</v>
      </c>
      <c r="O85" s="95">
        <v>-2292.3628811983667</v>
      </c>
    </row>
    <row r="86" spans="1:15" x14ac:dyDescent="0.25">
      <c r="A86" s="217"/>
      <c r="B86" s="93" t="s">
        <v>49</v>
      </c>
      <c r="C86" s="94">
        <v>18812.43</v>
      </c>
      <c r="D86" s="82">
        <v>26874.899999999998</v>
      </c>
      <c r="E86" s="82">
        <v>21499.919999999998</v>
      </c>
      <c r="F86" s="82">
        <v>21499.919999999998</v>
      </c>
      <c r="G86" s="82">
        <v>26874.899999999998</v>
      </c>
      <c r="H86" s="82">
        <v>32249.879999999997</v>
      </c>
      <c r="I86" s="82">
        <v>37624.86</v>
      </c>
      <c r="J86" s="82">
        <v>34937.369999999995</v>
      </c>
      <c r="K86" s="82">
        <v>34937.369999999995</v>
      </c>
      <c r="L86" s="82">
        <v>29562.39</v>
      </c>
      <c r="M86" s="82">
        <v>18812.43</v>
      </c>
      <c r="N86" s="82">
        <v>21499.919999999998</v>
      </c>
      <c r="O86" s="95">
        <v>325186.28999999998</v>
      </c>
    </row>
    <row r="87" spans="1:15" x14ac:dyDescent="0.25">
      <c r="A87" s="217"/>
      <c r="B87" s="93" t="s">
        <v>87</v>
      </c>
      <c r="C87" s="94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95">
        <v>0</v>
      </c>
    </row>
    <row r="88" spans="1:15" x14ac:dyDescent="0.25">
      <c r="A88" s="217"/>
      <c r="B88" s="93" t="s">
        <v>89</v>
      </c>
      <c r="C88" s="94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95">
        <v>0</v>
      </c>
    </row>
    <row r="89" spans="1:15" x14ac:dyDescent="0.25">
      <c r="A89" s="83" t="s">
        <v>56</v>
      </c>
      <c r="B89" s="83" t="s">
        <v>70</v>
      </c>
      <c r="C89" s="90">
        <v>56069.58</v>
      </c>
      <c r="D89" s="91">
        <v>56069.58</v>
      </c>
      <c r="E89" s="91">
        <v>50729.62</v>
      </c>
      <c r="F89" s="91">
        <v>56069.58</v>
      </c>
      <c r="G89" s="91">
        <v>74759.44</v>
      </c>
      <c r="H89" s="91">
        <v>98789.26</v>
      </c>
      <c r="I89" s="91">
        <v>101459.24</v>
      </c>
      <c r="J89" s="91">
        <v>106799.2</v>
      </c>
      <c r="K89" s="91">
        <v>98789.26</v>
      </c>
      <c r="L89" s="91">
        <v>80099.399999999994</v>
      </c>
      <c r="M89" s="91">
        <v>50729.62</v>
      </c>
      <c r="N89" s="91">
        <v>53399.6</v>
      </c>
      <c r="O89" s="92">
        <v>883763.38</v>
      </c>
    </row>
    <row r="90" spans="1:15" x14ac:dyDescent="0.25">
      <c r="A90" s="217"/>
      <c r="B90" s="93" t="s">
        <v>25</v>
      </c>
      <c r="C90" s="94">
        <v>-367.70999999999185</v>
      </c>
      <c r="D90" s="82">
        <v>-367.70999999999185</v>
      </c>
      <c r="E90" s="82">
        <v>-332.68999999999505</v>
      </c>
      <c r="F90" s="82">
        <v>-367.70999999999185</v>
      </c>
      <c r="G90" s="82">
        <v>-490.27999999999884</v>
      </c>
      <c r="H90" s="82">
        <v>-647.86999999999534</v>
      </c>
      <c r="I90" s="82">
        <v>-665.3799999999901</v>
      </c>
      <c r="J90" s="82">
        <v>-700.39999999999418</v>
      </c>
      <c r="K90" s="82">
        <v>-647.86999999999534</v>
      </c>
      <c r="L90" s="82">
        <v>-525.30000000000291</v>
      </c>
      <c r="M90" s="82">
        <v>-332.68999999999505</v>
      </c>
      <c r="N90" s="82">
        <v>-350.19999999999709</v>
      </c>
      <c r="O90" s="95">
        <v>-5795.8099999999395</v>
      </c>
    </row>
    <row r="91" spans="1:15" x14ac:dyDescent="0.25">
      <c r="A91" s="217"/>
      <c r="B91" s="93" t="s">
        <v>26</v>
      </c>
      <c r="C91" s="94">
        <v>-30.138103348480172</v>
      </c>
      <c r="D91" s="82">
        <v>-30.138103348480172</v>
      </c>
      <c r="E91" s="82">
        <v>-27.267807791482063</v>
      </c>
      <c r="F91" s="82">
        <v>-30.138103348480172</v>
      </c>
      <c r="G91" s="82">
        <v>-40.184137797973563</v>
      </c>
      <c r="H91" s="82">
        <v>-53.100467804465062</v>
      </c>
      <c r="I91" s="82">
        <v>-54.535615582964127</v>
      </c>
      <c r="J91" s="82">
        <v>-57.405911139962235</v>
      </c>
      <c r="K91" s="82">
        <v>-53.100467804465062</v>
      </c>
      <c r="L91" s="82">
        <v>-43.054433354971671</v>
      </c>
      <c r="M91" s="82">
        <v>-27.267807791482063</v>
      </c>
      <c r="N91" s="82">
        <v>-28.702955569981118</v>
      </c>
      <c r="O91" s="95">
        <v>-475.03391468318745</v>
      </c>
    </row>
    <row r="92" spans="1:15" x14ac:dyDescent="0.25">
      <c r="A92" s="217"/>
      <c r="B92" s="93" t="s">
        <v>27</v>
      </c>
      <c r="C92" s="94">
        <v>-397.84810334847202</v>
      </c>
      <c r="D92" s="82">
        <v>-397.84810334847202</v>
      </c>
      <c r="E92" s="82">
        <v>-359.95780779147714</v>
      </c>
      <c r="F92" s="82">
        <v>-397.84810334847202</v>
      </c>
      <c r="G92" s="82">
        <v>-530.4641377979724</v>
      </c>
      <c r="H92" s="82">
        <v>-700.97046780446044</v>
      </c>
      <c r="I92" s="82">
        <v>-719.91561558295427</v>
      </c>
      <c r="J92" s="82">
        <v>-757.80591113995638</v>
      </c>
      <c r="K92" s="82">
        <v>-700.97046780446044</v>
      </c>
      <c r="L92" s="82">
        <v>-568.35443335497462</v>
      </c>
      <c r="M92" s="82">
        <v>-359.95780779147714</v>
      </c>
      <c r="N92" s="82">
        <v>-378.90295556997819</v>
      </c>
      <c r="O92" s="95">
        <v>-6270.8439146831279</v>
      </c>
    </row>
    <row r="93" spans="1:15" x14ac:dyDescent="0.25">
      <c r="A93" s="217"/>
      <c r="B93" s="93" t="s">
        <v>49</v>
      </c>
      <c r="C93" s="94">
        <v>56437.289999999994</v>
      </c>
      <c r="D93" s="82">
        <v>56437.289999999994</v>
      </c>
      <c r="E93" s="82">
        <v>51062.31</v>
      </c>
      <c r="F93" s="82">
        <v>56437.289999999994</v>
      </c>
      <c r="G93" s="82">
        <v>75249.72</v>
      </c>
      <c r="H93" s="82">
        <v>99437.12999999999</v>
      </c>
      <c r="I93" s="82">
        <v>102124.62</v>
      </c>
      <c r="J93" s="82">
        <v>107499.59999999999</v>
      </c>
      <c r="K93" s="82">
        <v>99437.12999999999</v>
      </c>
      <c r="L93" s="82">
        <v>80624.7</v>
      </c>
      <c r="M93" s="82">
        <v>51062.31</v>
      </c>
      <c r="N93" s="82">
        <v>53749.799999999996</v>
      </c>
      <c r="O93" s="95">
        <v>889559.19</v>
      </c>
    </row>
    <row r="94" spans="1:15" x14ac:dyDescent="0.25">
      <c r="A94" s="217"/>
      <c r="B94" s="93" t="s">
        <v>87</v>
      </c>
      <c r="C94" s="94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82">
        <v>0</v>
      </c>
      <c r="K94" s="82">
        <v>0</v>
      </c>
      <c r="L94" s="82">
        <v>0</v>
      </c>
      <c r="M94" s="82">
        <v>0</v>
      </c>
      <c r="N94" s="82">
        <v>0</v>
      </c>
      <c r="O94" s="95">
        <v>0</v>
      </c>
    </row>
    <row r="95" spans="1:15" x14ac:dyDescent="0.25">
      <c r="A95" s="217"/>
      <c r="B95" s="93" t="s">
        <v>89</v>
      </c>
      <c r="C95" s="94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95">
        <v>0</v>
      </c>
    </row>
    <row r="96" spans="1:15" x14ac:dyDescent="0.25">
      <c r="A96" s="83" t="s">
        <v>57</v>
      </c>
      <c r="B96" s="83" t="s">
        <v>70</v>
      </c>
      <c r="C96" s="90">
        <v>96119.28</v>
      </c>
      <c r="D96" s="91">
        <v>85439.360000000001</v>
      </c>
      <c r="E96" s="91">
        <v>85439.360000000001</v>
      </c>
      <c r="F96" s="91">
        <v>82769.38</v>
      </c>
      <c r="G96" s="91">
        <v>101459.24</v>
      </c>
      <c r="H96" s="91">
        <v>128159.04000000001</v>
      </c>
      <c r="I96" s="91">
        <v>130829.02</v>
      </c>
      <c r="J96" s="91">
        <v>133499</v>
      </c>
      <c r="K96" s="91">
        <v>125489.06</v>
      </c>
      <c r="L96" s="91">
        <v>96119.28</v>
      </c>
      <c r="M96" s="91">
        <v>69419.48</v>
      </c>
      <c r="N96" s="91">
        <v>82769.38</v>
      </c>
      <c r="O96" s="92">
        <v>1217510.8799999999</v>
      </c>
    </row>
    <row r="97" spans="1:15" x14ac:dyDescent="0.25">
      <c r="A97" s="217"/>
      <c r="B97" s="93" t="s">
        <v>25</v>
      </c>
      <c r="C97" s="94">
        <v>-630.35999999998603</v>
      </c>
      <c r="D97" s="82">
        <v>-560.31999999999243</v>
      </c>
      <c r="E97" s="82">
        <v>-560.31999999999243</v>
      </c>
      <c r="F97" s="82">
        <v>-542.80999999998312</v>
      </c>
      <c r="G97" s="82">
        <v>-665.3799999999901</v>
      </c>
      <c r="H97" s="82">
        <v>-840.47999999998137</v>
      </c>
      <c r="I97" s="82">
        <v>-857.98999999997613</v>
      </c>
      <c r="J97" s="82">
        <v>-875.5</v>
      </c>
      <c r="K97" s="82">
        <v>-822.96999999998661</v>
      </c>
      <c r="L97" s="82">
        <v>-630.35999999998603</v>
      </c>
      <c r="M97" s="82">
        <v>-455.25999999999476</v>
      </c>
      <c r="N97" s="82">
        <v>-542.80999999998312</v>
      </c>
      <c r="O97" s="95">
        <v>-7984.5599999998522</v>
      </c>
    </row>
    <row r="98" spans="1:15" x14ac:dyDescent="0.25">
      <c r="A98" s="217"/>
      <c r="B98" s="93" t="s">
        <v>26</v>
      </c>
      <c r="C98" s="94">
        <v>-51.665320025966011</v>
      </c>
      <c r="D98" s="82">
        <v>-45.92472891196978</v>
      </c>
      <c r="E98" s="82">
        <v>-45.92472891196978</v>
      </c>
      <c r="F98" s="82">
        <v>-44.489581133470729</v>
      </c>
      <c r="G98" s="82">
        <v>-54.535615582964127</v>
      </c>
      <c r="H98" s="82">
        <v>-68.887093367954677</v>
      </c>
      <c r="I98" s="82">
        <v>-70.322241146453734</v>
      </c>
      <c r="J98" s="82">
        <v>-71.757388924952792</v>
      </c>
      <c r="K98" s="82">
        <v>-67.451945589455619</v>
      </c>
      <c r="L98" s="82">
        <v>-51.665320025966011</v>
      </c>
      <c r="M98" s="82">
        <v>-37.313842240975447</v>
      </c>
      <c r="N98" s="82">
        <v>-44.489581133470729</v>
      </c>
      <c r="O98" s="95">
        <v>-654.42738699556946</v>
      </c>
    </row>
    <row r="99" spans="1:15" x14ac:dyDescent="0.25">
      <c r="A99" s="217"/>
      <c r="B99" s="93" t="s">
        <v>27</v>
      </c>
      <c r="C99" s="94">
        <v>-682.02532002595206</v>
      </c>
      <c r="D99" s="82">
        <v>-606.24472891196217</v>
      </c>
      <c r="E99" s="82">
        <v>-606.24472891196217</v>
      </c>
      <c r="F99" s="82">
        <v>-587.2995811334539</v>
      </c>
      <c r="G99" s="82">
        <v>-719.91561558295427</v>
      </c>
      <c r="H99" s="82">
        <v>-909.36709336793604</v>
      </c>
      <c r="I99" s="82">
        <v>-928.31224114642987</v>
      </c>
      <c r="J99" s="82">
        <v>-947.25738892495281</v>
      </c>
      <c r="K99" s="82">
        <v>-890.4219455894422</v>
      </c>
      <c r="L99" s="82">
        <v>-682.02532002595206</v>
      </c>
      <c r="M99" s="82">
        <v>-492.57384224097018</v>
      </c>
      <c r="N99" s="82">
        <v>-587.2995811334539</v>
      </c>
      <c r="O99" s="95">
        <v>-8638.9873869954208</v>
      </c>
    </row>
    <row r="100" spans="1:15" x14ac:dyDescent="0.25">
      <c r="A100" s="217"/>
      <c r="B100" s="93" t="s">
        <v>49</v>
      </c>
      <c r="C100" s="94">
        <v>96749.639999999985</v>
      </c>
      <c r="D100" s="82">
        <v>85999.679999999993</v>
      </c>
      <c r="E100" s="82">
        <v>85999.679999999993</v>
      </c>
      <c r="F100" s="82">
        <v>83312.189999999988</v>
      </c>
      <c r="G100" s="82">
        <v>102124.62</v>
      </c>
      <c r="H100" s="82">
        <v>128999.51999999999</v>
      </c>
      <c r="I100" s="82">
        <v>131687.00999999998</v>
      </c>
      <c r="J100" s="82">
        <v>134374.5</v>
      </c>
      <c r="K100" s="82">
        <v>126312.02999999998</v>
      </c>
      <c r="L100" s="82">
        <v>96749.639999999985</v>
      </c>
      <c r="M100" s="82">
        <v>69874.739999999991</v>
      </c>
      <c r="N100" s="82">
        <v>83312.189999999988</v>
      </c>
      <c r="O100" s="95">
        <v>1225495.44</v>
      </c>
    </row>
    <row r="101" spans="1:15" x14ac:dyDescent="0.25">
      <c r="A101" s="217"/>
      <c r="B101" s="93" t="s">
        <v>87</v>
      </c>
      <c r="C101" s="94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95">
        <v>0</v>
      </c>
    </row>
    <row r="102" spans="1:15" x14ac:dyDescent="0.25">
      <c r="A102" s="217"/>
      <c r="B102" s="93" t="s">
        <v>89</v>
      </c>
      <c r="C102" s="94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95">
        <v>0</v>
      </c>
    </row>
    <row r="103" spans="1:15" x14ac:dyDescent="0.25">
      <c r="A103" s="83" t="s">
        <v>81</v>
      </c>
      <c r="B103" s="83" t="s">
        <v>70</v>
      </c>
      <c r="C103" s="90">
        <v>365787.26</v>
      </c>
      <c r="D103" s="91">
        <v>352437.36</v>
      </c>
      <c r="E103" s="91">
        <v>395157.04</v>
      </c>
      <c r="F103" s="91">
        <v>245638.16</v>
      </c>
      <c r="G103" s="91">
        <v>277677.92</v>
      </c>
      <c r="H103" s="91">
        <v>416516.88</v>
      </c>
      <c r="I103" s="91">
        <v>413846.9</v>
      </c>
      <c r="J103" s="91">
        <v>424526.82</v>
      </c>
      <c r="K103" s="91">
        <v>384477.12</v>
      </c>
      <c r="L103" s="91">
        <v>312387.65999999997</v>
      </c>
      <c r="M103" s="91">
        <v>357777.32</v>
      </c>
      <c r="N103" s="91">
        <v>387147.1</v>
      </c>
      <c r="O103" s="92">
        <v>4333377.5399999991</v>
      </c>
    </row>
    <row r="104" spans="1:15" x14ac:dyDescent="0.25">
      <c r="A104" s="217"/>
      <c r="B104" s="93" t="s">
        <v>25</v>
      </c>
      <c r="C104" s="94">
        <v>-2398.8699999999371</v>
      </c>
      <c r="D104" s="82">
        <v>-2311.320000000007</v>
      </c>
      <c r="E104" s="82">
        <v>-2591.4799999999814</v>
      </c>
      <c r="F104" s="82">
        <v>-1610.9199999999837</v>
      </c>
      <c r="G104" s="82">
        <v>-1821.039999999979</v>
      </c>
      <c r="H104" s="82">
        <v>-2731.5599999999395</v>
      </c>
      <c r="I104" s="82">
        <v>-2714.0499999999302</v>
      </c>
      <c r="J104" s="82">
        <v>-2784.0899999999674</v>
      </c>
      <c r="K104" s="82">
        <v>-2521.4399999999441</v>
      </c>
      <c r="L104" s="82">
        <v>-2048.6699999999837</v>
      </c>
      <c r="M104" s="82">
        <v>-2346.3399999999674</v>
      </c>
      <c r="N104" s="82">
        <v>-2538.9500000000116</v>
      </c>
      <c r="O104" s="95">
        <v>-28418.729999999632</v>
      </c>
    </row>
    <row r="105" spans="1:15" x14ac:dyDescent="0.25">
      <c r="A105" s="217"/>
      <c r="B105" s="93" t="s">
        <v>26</v>
      </c>
      <c r="C105" s="94">
        <v>-196.61524565437063</v>
      </c>
      <c r="D105" s="82">
        <v>-189.43950676187538</v>
      </c>
      <c r="E105" s="82">
        <v>-212.40187121786025</v>
      </c>
      <c r="F105" s="82">
        <v>-132.03359562191315</v>
      </c>
      <c r="G105" s="82">
        <v>-149.25536896390179</v>
      </c>
      <c r="H105" s="82">
        <v>-223.88305344585271</v>
      </c>
      <c r="I105" s="82">
        <v>-222.44790566735364</v>
      </c>
      <c r="J105" s="82">
        <v>-228.18849678134987</v>
      </c>
      <c r="K105" s="82">
        <v>-206.66128010386404</v>
      </c>
      <c r="L105" s="82">
        <v>-167.91229008438955</v>
      </c>
      <c r="M105" s="82">
        <v>-192.30980231887349</v>
      </c>
      <c r="N105" s="82">
        <v>-208.09642788236312</v>
      </c>
      <c r="O105" s="95">
        <v>-2329.2448445039672</v>
      </c>
    </row>
    <row r="106" spans="1:15" x14ac:dyDescent="0.25">
      <c r="A106" s="217"/>
      <c r="B106" s="93" t="s">
        <v>27</v>
      </c>
      <c r="C106" s="94">
        <v>-2595.4852456543076</v>
      </c>
      <c r="D106" s="82">
        <v>-2500.7595067618822</v>
      </c>
      <c r="E106" s="82">
        <v>-2803.8818712178418</v>
      </c>
      <c r="F106" s="82">
        <v>-1742.953595621897</v>
      </c>
      <c r="G106" s="82">
        <v>-1970.2953689638807</v>
      </c>
      <c r="H106" s="82">
        <v>-2955.443053445792</v>
      </c>
      <c r="I106" s="82">
        <v>-2936.4979056672837</v>
      </c>
      <c r="J106" s="82">
        <v>-3012.2784967813172</v>
      </c>
      <c r="K106" s="82">
        <v>-2728.1012801038082</v>
      </c>
      <c r="L106" s="82">
        <v>-2216.5822900843732</v>
      </c>
      <c r="M106" s="82">
        <v>-2538.649802318841</v>
      </c>
      <c r="N106" s="82">
        <v>-2747.0464278823747</v>
      </c>
      <c r="O106" s="95">
        <v>-30747.974844503598</v>
      </c>
    </row>
    <row r="107" spans="1:15" x14ac:dyDescent="0.25">
      <c r="A107" s="217"/>
      <c r="B107" s="93" t="s">
        <v>49</v>
      </c>
      <c r="C107" s="94">
        <v>368186.12999999995</v>
      </c>
      <c r="D107" s="82">
        <v>354748.68</v>
      </c>
      <c r="E107" s="82">
        <v>397748.51999999996</v>
      </c>
      <c r="F107" s="82">
        <v>247249.08</v>
      </c>
      <c r="G107" s="82">
        <v>279498.95999999996</v>
      </c>
      <c r="H107" s="82">
        <v>419248.43999999994</v>
      </c>
      <c r="I107" s="82">
        <v>416560.94999999995</v>
      </c>
      <c r="J107" s="82">
        <v>427310.91</v>
      </c>
      <c r="K107" s="82">
        <v>386998.55999999994</v>
      </c>
      <c r="L107" s="82">
        <v>314436.32999999996</v>
      </c>
      <c r="M107" s="82">
        <v>360123.66</v>
      </c>
      <c r="N107" s="82">
        <v>389686.05</v>
      </c>
      <c r="O107" s="95">
        <v>4361796.2700000005</v>
      </c>
    </row>
    <row r="108" spans="1:15" x14ac:dyDescent="0.25">
      <c r="A108" s="217"/>
      <c r="B108" s="93" t="s">
        <v>87</v>
      </c>
      <c r="C108" s="94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95">
        <v>0</v>
      </c>
    </row>
    <row r="109" spans="1:15" x14ac:dyDescent="0.25">
      <c r="A109" s="217"/>
      <c r="B109" s="93" t="s">
        <v>89</v>
      </c>
      <c r="C109" s="94">
        <v>0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95">
        <v>0</v>
      </c>
    </row>
    <row r="110" spans="1:15" x14ac:dyDescent="0.25">
      <c r="A110" s="83" t="s">
        <v>83</v>
      </c>
      <c r="B110" s="83" t="s">
        <v>70</v>
      </c>
      <c r="C110" s="90">
        <v>117479.12</v>
      </c>
      <c r="D110" s="91">
        <v>112139.16</v>
      </c>
      <c r="E110" s="91">
        <v>98789.26</v>
      </c>
      <c r="F110" s="91">
        <v>72089.460000000006</v>
      </c>
      <c r="G110" s="91">
        <v>112139.16</v>
      </c>
      <c r="H110" s="91">
        <v>149518.88</v>
      </c>
      <c r="I110" s="91">
        <v>144178.92000000001</v>
      </c>
      <c r="J110" s="91">
        <v>157528.82</v>
      </c>
      <c r="K110" s="91">
        <v>144178.92000000001</v>
      </c>
      <c r="L110" s="91">
        <v>98789.26</v>
      </c>
      <c r="M110" s="91">
        <v>101459.24</v>
      </c>
      <c r="N110" s="91">
        <v>93449.3</v>
      </c>
      <c r="O110" s="92">
        <v>1401739.5</v>
      </c>
    </row>
    <row r="111" spans="1:15" x14ac:dyDescent="0.25">
      <c r="A111" s="217"/>
      <c r="B111" s="93" t="s">
        <v>25</v>
      </c>
      <c r="C111" s="94">
        <v>-770.44000000000233</v>
      </c>
      <c r="D111" s="82">
        <v>-735.4199999999837</v>
      </c>
      <c r="E111" s="82">
        <v>-647.86999999999534</v>
      </c>
      <c r="F111" s="82">
        <v>-472.76999999998952</v>
      </c>
      <c r="G111" s="82">
        <v>-735.4199999999837</v>
      </c>
      <c r="H111" s="82">
        <v>-980.55999999999767</v>
      </c>
      <c r="I111" s="82">
        <v>-945.53999999997905</v>
      </c>
      <c r="J111" s="82">
        <v>-1033.0899999999674</v>
      </c>
      <c r="K111" s="82">
        <v>-945.53999999997905</v>
      </c>
      <c r="L111" s="82">
        <v>-647.86999999999534</v>
      </c>
      <c r="M111" s="82">
        <v>-665.3799999999901</v>
      </c>
      <c r="N111" s="82">
        <v>-612.84999999999127</v>
      </c>
      <c r="O111" s="95">
        <v>-9192.7499999998545</v>
      </c>
    </row>
    <row r="112" spans="1:15" x14ac:dyDescent="0.25">
      <c r="A112" s="217"/>
      <c r="B112" s="93" t="s">
        <v>26</v>
      </c>
      <c r="C112" s="94">
        <v>-63.14650225395846</v>
      </c>
      <c r="D112" s="82">
        <v>-60.276206696960344</v>
      </c>
      <c r="E112" s="82">
        <v>-53.100467804465062</v>
      </c>
      <c r="F112" s="82">
        <v>-38.748990019474512</v>
      </c>
      <c r="G112" s="82">
        <v>-60.276206696960344</v>
      </c>
      <c r="H112" s="82">
        <v>-80.368275595947125</v>
      </c>
      <c r="I112" s="82">
        <v>-77.497980038949024</v>
      </c>
      <c r="J112" s="82">
        <v>-84.673718931444299</v>
      </c>
      <c r="K112" s="82">
        <v>-77.497980038949024</v>
      </c>
      <c r="L112" s="82">
        <v>-53.100467804465062</v>
      </c>
      <c r="M112" s="82">
        <v>-54.535615582964127</v>
      </c>
      <c r="N112" s="82">
        <v>-50.230172247466953</v>
      </c>
      <c r="O112" s="95">
        <v>-753.45258371200441</v>
      </c>
    </row>
    <row r="113" spans="1:15" x14ac:dyDescent="0.25">
      <c r="A113" s="217"/>
      <c r="B113" s="93" t="s">
        <v>27</v>
      </c>
      <c r="C113" s="94">
        <v>-833.58650225396082</v>
      </c>
      <c r="D113" s="82">
        <v>-795.69620669694405</v>
      </c>
      <c r="E113" s="82">
        <v>-700.97046780446044</v>
      </c>
      <c r="F113" s="82">
        <v>-511.51899001946401</v>
      </c>
      <c r="G113" s="82">
        <v>-795.69620669694405</v>
      </c>
      <c r="H113" s="82">
        <v>-1060.9282755959448</v>
      </c>
      <c r="I113" s="82">
        <v>-1023.037980038928</v>
      </c>
      <c r="J113" s="82">
        <v>-1117.7637189314116</v>
      </c>
      <c r="K113" s="82">
        <v>-1023.037980038928</v>
      </c>
      <c r="L113" s="82">
        <v>-700.97046780446044</v>
      </c>
      <c r="M113" s="82">
        <v>-719.91561558295427</v>
      </c>
      <c r="N113" s="82">
        <v>-663.08017224745822</v>
      </c>
      <c r="O113" s="95">
        <v>-9946.2025837118617</v>
      </c>
    </row>
    <row r="114" spans="1:15" x14ac:dyDescent="0.25">
      <c r="A114" s="217"/>
      <c r="B114" s="93" t="s">
        <v>49</v>
      </c>
      <c r="C114" s="94">
        <v>118249.56</v>
      </c>
      <c r="D114" s="82">
        <v>112874.57999999999</v>
      </c>
      <c r="E114" s="82">
        <v>99437.12999999999</v>
      </c>
      <c r="F114" s="82">
        <v>72562.23</v>
      </c>
      <c r="G114" s="82">
        <v>112874.57999999999</v>
      </c>
      <c r="H114" s="82">
        <v>150499.44</v>
      </c>
      <c r="I114" s="82">
        <v>145124.46</v>
      </c>
      <c r="J114" s="82">
        <v>158561.90999999997</v>
      </c>
      <c r="K114" s="82">
        <v>145124.46</v>
      </c>
      <c r="L114" s="82">
        <v>99437.12999999999</v>
      </c>
      <c r="M114" s="82">
        <v>102124.62</v>
      </c>
      <c r="N114" s="82">
        <v>94062.15</v>
      </c>
      <c r="O114" s="95">
        <v>1410932.2499999995</v>
      </c>
    </row>
    <row r="115" spans="1:15" x14ac:dyDescent="0.25">
      <c r="A115" s="217"/>
      <c r="B115" s="93" t="s">
        <v>87</v>
      </c>
      <c r="C115" s="94">
        <v>0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95">
        <v>0</v>
      </c>
    </row>
    <row r="116" spans="1:15" x14ac:dyDescent="0.25">
      <c r="A116" s="217"/>
      <c r="B116" s="93" t="s">
        <v>89</v>
      </c>
      <c r="C116" s="94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95">
        <v>0</v>
      </c>
    </row>
    <row r="117" spans="1:15" x14ac:dyDescent="0.25">
      <c r="A117" s="83" t="s">
        <v>71</v>
      </c>
      <c r="B117" s="84"/>
      <c r="C117" s="90">
        <v>21362509.98</v>
      </c>
      <c r="D117" s="91">
        <v>21178281.359999996</v>
      </c>
      <c r="E117" s="91">
        <v>19335995.16</v>
      </c>
      <c r="F117" s="91">
        <v>17290790.479999997</v>
      </c>
      <c r="G117" s="91">
        <v>21784366.820000004</v>
      </c>
      <c r="H117" s="91">
        <v>27751772.120000001</v>
      </c>
      <c r="I117" s="91">
        <v>27452734.359999996</v>
      </c>
      <c r="J117" s="91">
        <v>29425849.579999994</v>
      </c>
      <c r="K117" s="91">
        <v>27151026.620000001</v>
      </c>
      <c r="L117" s="91">
        <v>21341150.140000004</v>
      </c>
      <c r="M117" s="91">
        <v>19335995.160000004</v>
      </c>
      <c r="N117" s="91">
        <v>19402744.66</v>
      </c>
      <c r="O117" s="92">
        <v>272813216.44</v>
      </c>
    </row>
    <row r="118" spans="1:15" ht="13" x14ac:dyDescent="0.3">
      <c r="A118" s="83" t="s">
        <v>28</v>
      </c>
      <c r="B118" s="84"/>
      <c r="C118" s="255">
        <v>-140097.50999999806</v>
      </c>
      <c r="D118" s="256">
        <v>-138889.31999999803</v>
      </c>
      <c r="E118" s="256">
        <v>-126807.41999999918</v>
      </c>
      <c r="F118" s="256">
        <v>-113394.75999999756</v>
      </c>
      <c r="G118" s="256">
        <v>-142864.08999999752</v>
      </c>
      <c r="H118" s="256">
        <v>-181998.93999999962</v>
      </c>
      <c r="I118" s="256">
        <v>-180037.81999999785</v>
      </c>
      <c r="J118" s="256">
        <v>-192977.71000000011</v>
      </c>
      <c r="K118" s="256">
        <v>-178059.18999999831</v>
      </c>
      <c r="L118" s="256">
        <v>-139957.42999999778</v>
      </c>
      <c r="M118" s="256">
        <v>-126807.41999999745</v>
      </c>
      <c r="N118" s="256">
        <v>-127245.16999999815</v>
      </c>
      <c r="O118" s="257">
        <v>-1789136.7799999795</v>
      </c>
    </row>
    <row r="119" spans="1:15" ht="13" x14ac:dyDescent="0.3">
      <c r="A119" s="83" t="s">
        <v>29</v>
      </c>
      <c r="B119" s="84"/>
      <c r="C119" s="255">
        <v>-11482.617375770944</v>
      </c>
      <c r="D119" s="256">
        <v>-11383.592179054511</v>
      </c>
      <c r="E119" s="256">
        <v>-10393.340211890161</v>
      </c>
      <c r="F119" s="256">
        <v>-9294.0170135598837</v>
      </c>
      <c r="G119" s="256">
        <v>-11709.370724773797</v>
      </c>
      <c r="H119" s="256">
        <v>-14916.926009719187</v>
      </c>
      <c r="I119" s="256">
        <v>-14756.189458527293</v>
      </c>
      <c r="J119" s="256">
        <v>-15816.763666838093</v>
      </c>
      <c r="K119" s="256">
        <v>-14594.017759556898</v>
      </c>
      <c r="L119" s="256">
        <v>-11471.136193542954</v>
      </c>
      <c r="M119" s="256">
        <v>-10393.340211890165</v>
      </c>
      <c r="N119" s="256">
        <v>-10429.218906352638</v>
      </c>
      <c r="O119" s="257">
        <v>-146640.52971147653</v>
      </c>
    </row>
    <row r="120" spans="1:15" ht="13" x14ac:dyDescent="0.3">
      <c r="A120" s="83" t="s">
        <v>30</v>
      </c>
      <c r="B120" s="84"/>
      <c r="C120" s="255">
        <v>-151580.12737576896</v>
      </c>
      <c r="D120" s="256">
        <v>-150272.91217905251</v>
      </c>
      <c r="E120" s="256">
        <v>-137200.76021188934</v>
      </c>
      <c r="F120" s="256">
        <v>-122688.77701355742</v>
      </c>
      <c r="G120" s="256">
        <v>-154573.46072477131</v>
      </c>
      <c r="H120" s="256">
        <v>-196915.86600971883</v>
      </c>
      <c r="I120" s="256">
        <v>-194794.00945852511</v>
      </c>
      <c r="J120" s="256">
        <v>-208794.4736668382</v>
      </c>
      <c r="K120" s="256">
        <v>-192653.2077595552</v>
      </c>
      <c r="L120" s="256">
        <v>-151428.56619354078</v>
      </c>
      <c r="M120" s="256">
        <v>-137200.76021188757</v>
      </c>
      <c r="N120" s="256">
        <v>-137674.38890635077</v>
      </c>
      <c r="O120" s="257">
        <v>-1935777.3097114563</v>
      </c>
    </row>
    <row r="121" spans="1:15" x14ac:dyDescent="0.25">
      <c r="A121" s="83" t="s">
        <v>61</v>
      </c>
      <c r="B121" s="84"/>
      <c r="C121" s="90">
        <v>21502607.489999998</v>
      </c>
      <c r="D121" s="91">
        <v>21317170.679999996</v>
      </c>
      <c r="E121" s="91">
        <v>19462802.579999994</v>
      </c>
      <c r="F121" s="91">
        <v>17404185.240000002</v>
      </c>
      <c r="G121" s="91">
        <v>21927230.909999993</v>
      </c>
      <c r="H121" s="91">
        <v>27933771.059999999</v>
      </c>
      <c r="I121" s="91">
        <v>27632772.179999996</v>
      </c>
      <c r="J121" s="91">
        <v>29618827.290000007</v>
      </c>
      <c r="K121" s="91">
        <v>27329085.809999999</v>
      </c>
      <c r="L121" s="91">
        <v>21481107.569999997</v>
      </c>
      <c r="M121" s="91">
        <v>19462802.579999998</v>
      </c>
      <c r="N121" s="91">
        <v>19529989.830000002</v>
      </c>
      <c r="O121" s="92">
        <v>274602353.22000003</v>
      </c>
    </row>
    <row r="122" spans="1:15" x14ac:dyDescent="0.25">
      <c r="A122" s="83" t="s">
        <v>88</v>
      </c>
      <c r="B122" s="84"/>
      <c r="C122" s="90">
        <v>0</v>
      </c>
      <c r="D122" s="91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1">
        <v>0</v>
      </c>
      <c r="O122" s="92">
        <v>0</v>
      </c>
    </row>
    <row r="123" spans="1:15" x14ac:dyDescent="0.25">
      <c r="A123" s="96" t="s">
        <v>90</v>
      </c>
      <c r="B123" s="218"/>
      <c r="C123" s="97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9">
        <v>0</v>
      </c>
    </row>
  </sheetData>
  <phoneticPr fontId="6" type="noConversion"/>
  <pageMargins left="0.5" right="0.5" top="0.73" bottom="0.98" header="0.5" footer="0.5"/>
  <pageSetup scale="48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C25" sqref="C25"/>
    </sheetView>
  </sheetViews>
  <sheetFormatPr defaultColWidth="8.7265625" defaultRowHeight="12.5" x14ac:dyDescent="0.25"/>
  <cols>
    <col min="1" max="1" width="51.36328125" style="1" customWidth="1"/>
    <col min="2" max="2" width="10.26953125" style="1" bestFit="1" customWidth="1"/>
    <col min="3" max="3" width="10.7265625" style="1" bestFit="1" customWidth="1"/>
    <col min="4" max="4" width="11" style="146" customWidth="1"/>
    <col min="5" max="5" width="24.26953125" style="1" customWidth="1"/>
    <col min="6" max="6" width="7.7265625" style="146" customWidth="1"/>
    <col min="7" max="7" width="8.54296875" style="146" bestFit="1" customWidth="1"/>
    <col min="8" max="8" width="11.1796875" style="146" bestFit="1" customWidth="1"/>
    <col min="9" max="9" width="11.26953125" style="147" customWidth="1"/>
    <col min="10" max="10" width="15.81640625" style="146" bestFit="1" customWidth="1"/>
    <col min="11" max="11" width="16.1796875" style="148" customWidth="1"/>
    <col min="12" max="12" width="14.7265625" style="146" customWidth="1"/>
    <col min="13" max="13" width="13.453125" style="110" bestFit="1" customWidth="1"/>
    <col min="14" max="15" width="13.453125" style="110" customWidth="1"/>
    <col min="16" max="16" width="14.81640625" style="110" bestFit="1" customWidth="1"/>
    <col min="17" max="17" width="13.453125" style="110" customWidth="1"/>
    <col min="18" max="18" width="15.54296875" style="216" customWidth="1"/>
    <col min="19" max="16384" width="8.7265625" style="1"/>
  </cols>
  <sheetData>
    <row r="1" spans="2:18" ht="21.5" x14ac:dyDescent="0.3">
      <c r="B1" s="10" t="s">
        <v>95</v>
      </c>
      <c r="C1" s="100"/>
      <c r="D1" s="101"/>
      <c r="E1" s="100"/>
      <c r="F1" s="102" t="s">
        <v>12</v>
      </c>
      <c r="G1" s="103"/>
      <c r="H1" s="104"/>
      <c r="I1" s="105"/>
      <c r="J1" s="225" t="str">
        <f>"True-Up ARR
(CY"&amp;R1&amp;")"</f>
        <v>True-Up ARR
(CY2023)</v>
      </c>
      <c r="K1" s="225" t="str">
        <f>"Projected ARR
(Jan'"&amp;RIGHT(R$1,2)&amp;" - Dec'"&amp;RIGHT(R$1,2)&amp;")"</f>
        <v>Projected ARR
(Jan'23 - Dec'23)</v>
      </c>
      <c r="L1" s="106" t="s">
        <v>45</v>
      </c>
      <c r="M1" s="107"/>
      <c r="N1" s="50"/>
      <c r="O1" s="50"/>
      <c r="P1" s="50"/>
      <c r="Q1" s="50"/>
      <c r="R1" s="108">
        <v>2023</v>
      </c>
    </row>
    <row r="2" spans="2:18" ht="13" x14ac:dyDescent="0.3">
      <c r="B2" s="10" t="s">
        <v>52</v>
      </c>
      <c r="C2" s="100"/>
      <c r="D2" s="101"/>
      <c r="E2" s="100"/>
      <c r="F2" s="109">
        <v>9</v>
      </c>
      <c r="G2" s="259"/>
      <c r="H2" s="259"/>
      <c r="I2" s="111" t="s">
        <v>6</v>
      </c>
      <c r="J2" s="112">
        <v>272813239.99252772</v>
      </c>
      <c r="K2" s="112">
        <v>294090069.35686433</v>
      </c>
      <c r="L2" s="228"/>
      <c r="M2" s="114"/>
      <c r="N2" s="50"/>
      <c r="O2" s="50"/>
      <c r="P2" s="50"/>
      <c r="Q2" s="50"/>
      <c r="R2" s="1"/>
    </row>
    <row r="3" spans="2:18" ht="13" x14ac:dyDescent="0.3">
      <c r="B3" s="10" t="str">
        <f>"for CY"&amp;R1&amp;" SPP Network Transmission Service"</f>
        <v>for CY2023 SPP Network Transmission Service</v>
      </c>
      <c r="C3" s="100"/>
      <c r="D3" s="101"/>
      <c r="E3" s="100"/>
      <c r="F3" s="109"/>
      <c r="G3" s="259"/>
      <c r="H3" s="259"/>
      <c r="I3" s="111" t="s">
        <v>10</v>
      </c>
      <c r="J3" s="115">
        <v>2669.98</v>
      </c>
      <c r="K3" s="115">
        <v>2687.49</v>
      </c>
      <c r="L3" s="135" t="str">
        <f>"Inv. Jan-Dec'"&amp;RIGHT(R1,2)</f>
        <v>Inv. Jan-Dec'23</v>
      </c>
      <c r="M3" s="114"/>
      <c r="N3" s="50"/>
      <c r="O3" s="50"/>
      <c r="P3" s="50"/>
      <c r="Q3" s="50"/>
      <c r="R3" s="1"/>
    </row>
    <row r="4" spans="2:18" ht="13" x14ac:dyDescent="0.3">
      <c r="B4" s="9"/>
      <c r="C4" s="100"/>
      <c r="D4" s="101"/>
      <c r="E4" s="100"/>
      <c r="F4" s="109"/>
      <c r="G4" s="110"/>
      <c r="H4" s="110"/>
      <c r="I4" s="49"/>
      <c r="J4" s="110"/>
      <c r="K4" s="116"/>
      <c r="L4" s="110"/>
      <c r="M4" s="117"/>
      <c r="R4" s="1"/>
    </row>
    <row r="5" spans="2:18" ht="13" x14ac:dyDescent="0.3">
      <c r="B5" s="9"/>
      <c r="C5" s="100"/>
      <c r="D5" s="101"/>
      <c r="E5" s="100"/>
      <c r="F5" s="109"/>
      <c r="G5" s="110"/>
      <c r="H5" s="110"/>
      <c r="I5" s="111"/>
      <c r="J5" s="110"/>
      <c r="K5" s="112">
        <v>0</v>
      </c>
      <c r="L5" s="113"/>
      <c r="M5" s="118"/>
      <c r="N5" s="119"/>
      <c r="O5" s="119"/>
      <c r="P5" s="119"/>
      <c r="Q5" s="119"/>
      <c r="R5" s="120"/>
    </row>
    <row r="6" spans="2:18" ht="13" x14ac:dyDescent="0.3">
      <c r="B6" s="10" t="s">
        <v>23</v>
      </c>
      <c r="D6" s="101"/>
      <c r="E6" s="100"/>
      <c r="F6" s="121"/>
      <c r="G6" s="122"/>
      <c r="H6" s="123"/>
      <c r="I6" s="124"/>
      <c r="J6" s="125"/>
      <c r="K6" s="115">
        <v>0</v>
      </c>
      <c r="L6" s="219"/>
      <c r="M6" s="118"/>
      <c r="N6" s="119"/>
      <c r="O6" s="119"/>
      <c r="P6" s="119"/>
      <c r="Q6" s="119"/>
      <c r="R6" s="1"/>
    </row>
    <row r="7" spans="2:18" ht="13" x14ac:dyDescent="0.3">
      <c r="B7" s="9" t="s">
        <v>77</v>
      </c>
      <c r="D7" s="101"/>
      <c r="E7" s="100"/>
      <c r="F7" s="109"/>
      <c r="G7" s="260"/>
      <c r="H7" s="259"/>
      <c r="I7" s="111"/>
      <c r="J7" s="126"/>
      <c r="K7" s="113"/>
      <c r="L7" s="113"/>
      <c r="M7" s="127"/>
      <c r="N7" s="128"/>
      <c r="O7" s="128"/>
      <c r="P7" s="128"/>
      <c r="Q7" s="128"/>
      <c r="R7" s="1"/>
    </row>
    <row r="8" spans="2:18" ht="13" x14ac:dyDescent="0.3">
      <c r="B8" s="10"/>
      <c r="C8" s="100"/>
      <c r="D8" s="101"/>
      <c r="E8" s="100"/>
      <c r="F8" s="109"/>
      <c r="G8" s="259"/>
      <c r="H8" s="259"/>
      <c r="I8" s="111"/>
      <c r="J8" s="129"/>
      <c r="K8" s="113"/>
      <c r="L8" s="130"/>
      <c r="M8" s="114"/>
      <c r="N8" s="50"/>
      <c r="O8" s="50"/>
      <c r="P8" s="50"/>
      <c r="Q8" s="50"/>
      <c r="R8" s="120"/>
    </row>
    <row r="9" spans="2:18" ht="13" x14ac:dyDescent="0.3">
      <c r="B9" s="131"/>
      <c r="C9" s="100"/>
      <c r="D9" s="101"/>
      <c r="E9" s="100"/>
      <c r="F9" s="109"/>
      <c r="G9" s="110"/>
      <c r="H9" s="110"/>
      <c r="I9" s="132"/>
      <c r="J9" s="133"/>
      <c r="K9" s="134"/>
      <c r="L9" s="135"/>
      <c r="M9" s="114"/>
      <c r="N9" s="50"/>
      <c r="O9" s="50"/>
      <c r="P9" s="50"/>
      <c r="Q9" s="50"/>
      <c r="R9" s="120"/>
    </row>
    <row r="10" spans="2:18" ht="13.5" thickBot="1" x14ac:dyDescent="0.35">
      <c r="B10" s="9"/>
      <c r="D10" s="1"/>
      <c r="E10" s="136"/>
      <c r="F10" s="137"/>
      <c r="G10" s="138"/>
      <c r="H10" s="139"/>
      <c r="I10" s="140"/>
      <c r="J10" s="141"/>
      <c r="K10" s="141"/>
      <c r="L10" s="142"/>
      <c r="M10" s="143"/>
      <c r="R10" s="144"/>
    </row>
    <row r="11" spans="2:18" ht="13" x14ac:dyDescent="0.3">
      <c r="B11" s="145"/>
      <c r="E11" s="136"/>
      <c r="L11" s="149"/>
      <c r="M11" s="1"/>
      <c r="N11" s="1"/>
      <c r="O11" s="1"/>
      <c r="P11" s="1"/>
      <c r="Q11" s="1"/>
      <c r="R11" s="120"/>
    </row>
    <row r="12" spans="2:18" x14ac:dyDescent="0.25">
      <c r="E12" s="136"/>
      <c r="L12" s="149"/>
      <c r="R12" s="150" t="s">
        <v>60</v>
      </c>
    </row>
    <row r="13" spans="2:18" ht="13" x14ac:dyDescent="0.3">
      <c r="E13" s="136"/>
      <c r="F13" s="151"/>
      <c r="G13" s="152"/>
      <c r="H13" s="152"/>
      <c r="I13" s="153" t="s">
        <v>58</v>
      </c>
      <c r="J13" s="154">
        <f t="shared" ref="J13:R13" si="0">SUM(J56:J211)</f>
        <v>72052080.280000031</v>
      </c>
      <c r="K13" s="154">
        <f t="shared" si="0"/>
        <v>72524605.139999971</v>
      </c>
      <c r="L13" s="155">
        <f t="shared" si="0"/>
        <v>-472524.85999999364</v>
      </c>
      <c r="M13" s="156">
        <f t="shared" si="0"/>
        <v>-38728.897950575498</v>
      </c>
      <c r="N13" s="154">
        <f t="shared" si="0"/>
        <v>-511253.75795056898</v>
      </c>
      <c r="O13" s="154">
        <f t="shared" si="0"/>
        <v>0</v>
      </c>
      <c r="P13" s="154">
        <f t="shared" si="0"/>
        <v>0</v>
      </c>
      <c r="Q13" s="154">
        <f t="shared" si="0"/>
        <v>0</v>
      </c>
      <c r="R13" s="155">
        <f t="shared" si="0"/>
        <v>-511253.75795056898</v>
      </c>
    </row>
    <row r="14" spans="2:18" ht="13" x14ac:dyDescent="0.3">
      <c r="E14" s="136"/>
      <c r="F14" s="157"/>
      <c r="G14" s="157"/>
      <c r="H14" s="157"/>
      <c r="I14" s="158" t="s">
        <v>59</v>
      </c>
      <c r="J14" s="154">
        <f>SUM(J20:J211)</f>
        <v>272813216.44000036</v>
      </c>
      <c r="K14" s="154">
        <f>SUM(K20:K211)</f>
        <v>274602353.22000009</v>
      </c>
      <c r="L14" s="155">
        <f>SUM(L20:L211)</f>
        <v>-1789136.7799999812</v>
      </c>
      <c r="M14" s="220">
        <v>-146640.52971147653</v>
      </c>
      <c r="N14" s="154">
        <f>SUM(N20:N211)</f>
        <v>-1935777.3097114551</v>
      </c>
      <c r="O14" s="154">
        <f>SUM(O20:O211)</f>
        <v>0</v>
      </c>
      <c r="P14" s="154">
        <f>SUM(P20:P211)</f>
        <v>0</v>
      </c>
      <c r="Q14" s="154">
        <f>SUM(Q20:Q211)</f>
        <v>0</v>
      </c>
      <c r="R14" s="155">
        <f>SUM(R20:R211)</f>
        <v>-1935777.3097114551</v>
      </c>
    </row>
    <row r="15" spans="2:18" x14ac:dyDescent="0.25">
      <c r="B15" s="159" t="s">
        <v>82</v>
      </c>
      <c r="E15" s="136"/>
      <c r="J15" s="147"/>
      <c r="L15" s="149"/>
      <c r="M15" s="229"/>
      <c r="N15" s="160"/>
      <c r="O15" s="160"/>
      <c r="P15" s="160"/>
      <c r="Q15" s="160"/>
      <c r="R15" s="161" t="s">
        <v>20</v>
      </c>
    </row>
    <row r="16" spans="2:18" x14ac:dyDescent="0.25">
      <c r="B16" s="162" t="str">
        <f>"** Actual Trued-Up CY"&amp;R1&amp;" Charge reflects "&amp;R1&amp;" True-UP Rate x MW"</f>
        <v>** Actual Trued-Up CY2023 Charge reflects 2023 True-UP Rate x MW</v>
      </c>
      <c r="E16" s="136"/>
      <c r="F16" s="110"/>
      <c r="G16" s="5"/>
      <c r="J16" s="163"/>
      <c r="L16" s="164" t="s">
        <v>11</v>
      </c>
      <c r="M16" s="160"/>
      <c r="N16" s="160"/>
      <c r="O16" s="160"/>
      <c r="P16" s="160"/>
      <c r="Q16" s="160"/>
      <c r="R16" s="165"/>
    </row>
    <row r="17" spans="1:18" x14ac:dyDescent="0.25">
      <c r="B17" s="166" t="s">
        <v>62</v>
      </c>
      <c r="E17" s="136"/>
      <c r="I17" s="167"/>
      <c r="J17" s="168"/>
      <c r="K17" s="169"/>
      <c r="L17" s="169"/>
      <c r="M17" s="169"/>
      <c r="N17" s="169"/>
      <c r="O17" s="169"/>
      <c r="P17" s="169"/>
      <c r="Q17" s="169"/>
      <c r="R17" s="170"/>
    </row>
    <row r="18" spans="1:18" ht="3.65" customHeight="1" x14ac:dyDescent="0.25">
      <c r="I18" s="171"/>
      <c r="J18" s="168"/>
      <c r="K18" s="171"/>
      <c r="L18" s="171"/>
      <c r="M18" s="172"/>
      <c r="N18" s="172"/>
      <c r="O18" s="172"/>
      <c r="P18" s="172"/>
      <c r="Q18" s="172"/>
      <c r="R18" s="173"/>
    </row>
    <row r="19" spans="1:18" ht="38.25" customHeight="1" x14ac:dyDescent="0.25">
      <c r="B19" s="174" t="s">
        <v>53</v>
      </c>
      <c r="C19" s="230" t="s">
        <v>4</v>
      </c>
      <c r="D19" s="230" t="s">
        <v>5</v>
      </c>
      <c r="E19" s="226" t="s">
        <v>0</v>
      </c>
      <c r="F19" s="227" t="s">
        <v>12</v>
      </c>
      <c r="G19" s="231" t="s">
        <v>1</v>
      </c>
      <c r="H19" s="175" t="s">
        <v>48</v>
      </c>
      <c r="I19" s="175" t="s">
        <v>46</v>
      </c>
      <c r="J19" s="176" t="str">
        <f>"True-Up Charge"</f>
        <v>True-Up Charge</v>
      </c>
      <c r="K19" s="176" t="s">
        <v>47</v>
      </c>
      <c r="L19" s="177" t="s">
        <v>3</v>
      </c>
      <c r="M19" s="178" t="s">
        <v>7</v>
      </c>
      <c r="N19" s="179" t="s">
        <v>103</v>
      </c>
      <c r="O19" s="179" t="s">
        <v>84</v>
      </c>
      <c r="P19" s="179" t="s">
        <v>85</v>
      </c>
      <c r="Q19" s="179" t="s">
        <v>86</v>
      </c>
      <c r="R19" s="180" t="s">
        <v>2</v>
      </c>
    </row>
    <row r="20" spans="1:18" s="50" customFormat="1" ht="12.75" customHeight="1" x14ac:dyDescent="0.25">
      <c r="A20" s="110">
        <v>1</v>
      </c>
      <c r="B20" s="181">
        <f>DATE($R$1,A20,1)</f>
        <v>44927</v>
      </c>
      <c r="C20" s="182">
        <v>44960</v>
      </c>
      <c r="D20" s="182">
        <v>44981</v>
      </c>
      <c r="E20" s="183" t="s">
        <v>21</v>
      </c>
      <c r="F20" s="133">
        <v>9</v>
      </c>
      <c r="G20" s="184">
        <v>2810</v>
      </c>
      <c r="H20" s="185">
        <f>+$K$3</f>
        <v>2687.49</v>
      </c>
      <c r="I20" s="224">
        <f t="shared" ref="I20:I63" si="1">$J$3</f>
        <v>2669.98</v>
      </c>
      <c r="J20" s="186">
        <f t="shared" ref="J20:J108" si="2">+$G20*I20</f>
        <v>7502643.7999999998</v>
      </c>
      <c r="K20" s="187">
        <f>+$G20*H20</f>
        <v>7551846.8999999994</v>
      </c>
      <c r="L20" s="188">
        <f t="shared" ref="L20:L34" si="3">+J20-K20</f>
        <v>-49203.099999999627</v>
      </c>
      <c r="M20" s="189">
        <f>G20/$G$212*$M$14</f>
        <v>-4032.7652575823467</v>
      </c>
      <c r="N20" s="190">
        <f>SUM(L20:M20)</f>
        <v>-53235.865257581972</v>
      </c>
      <c r="O20" s="189">
        <v>0</v>
      </c>
      <c r="P20" s="189">
        <v>0</v>
      </c>
      <c r="Q20" s="189">
        <v>0</v>
      </c>
      <c r="R20" s="190">
        <f>+N20-Q20</f>
        <v>-53235.865257581972</v>
      </c>
    </row>
    <row r="21" spans="1:18" x14ac:dyDescent="0.25">
      <c r="A21" s="146">
        <v>2</v>
      </c>
      <c r="B21" s="181">
        <f t="shared" ref="B21:B108" si="4">DATE($R$1,A21,1)</f>
        <v>44958</v>
      </c>
      <c r="C21" s="182">
        <v>44988</v>
      </c>
      <c r="D21" s="182">
        <v>45009</v>
      </c>
      <c r="E21" s="191" t="s">
        <v>21</v>
      </c>
      <c r="F21" s="221">
        <v>9</v>
      </c>
      <c r="G21" s="184">
        <v>2771</v>
      </c>
      <c r="H21" s="185">
        <f t="shared" ref="H21:H84" si="5">+$K$3</f>
        <v>2687.49</v>
      </c>
      <c r="I21" s="185">
        <f t="shared" si="1"/>
        <v>2669.98</v>
      </c>
      <c r="J21" s="186">
        <f t="shared" si="2"/>
        <v>7398514.5800000001</v>
      </c>
      <c r="K21" s="187">
        <f t="shared" ref="K21:K33" si="6">+$G21*H21</f>
        <v>7447034.7899999991</v>
      </c>
      <c r="L21" s="188">
        <f t="shared" si="3"/>
        <v>-48520.209999999031</v>
      </c>
      <c r="M21" s="189">
        <f t="shared" ref="M21:M84" si="7">G21/$G$212*$M$14</f>
        <v>-3976.7944942208837</v>
      </c>
      <c r="N21" s="190">
        <f t="shared" ref="N21:N84" si="8">SUM(L21:M21)</f>
        <v>-52497.004494219917</v>
      </c>
      <c r="O21" s="189">
        <v>0</v>
      </c>
      <c r="P21" s="189">
        <v>0</v>
      </c>
      <c r="Q21" s="189">
        <v>0</v>
      </c>
      <c r="R21" s="190">
        <f t="shared" ref="R21:R84" si="9">+N21-Q21</f>
        <v>-52497.004494219917</v>
      </c>
    </row>
    <row r="22" spans="1:18" x14ac:dyDescent="0.25">
      <c r="A22" s="146">
        <v>3</v>
      </c>
      <c r="B22" s="181">
        <f t="shared" si="4"/>
        <v>44986</v>
      </c>
      <c r="C22" s="182">
        <v>45021</v>
      </c>
      <c r="D22" s="182">
        <v>45040</v>
      </c>
      <c r="E22" s="191" t="s">
        <v>21</v>
      </c>
      <c r="F22" s="221">
        <v>9</v>
      </c>
      <c r="G22" s="184">
        <v>2389</v>
      </c>
      <c r="H22" s="185">
        <f t="shared" si="5"/>
        <v>2687.49</v>
      </c>
      <c r="I22" s="185">
        <f t="shared" si="1"/>
        <v>2669.98</v>
      </c>
      <c r="J22" s="186">
        <f t="shared" si="2"/>
        <v>6378582.2199999997</v>
      </c>
      <c r="K22" s="187">
        <f t="shared" si="6"/>
        <v>6420413.6099999994</v>
      </c>
      <c r="L22" s="188">
        <f t="shared" si="3"/>
        <v>-41831.389999999665</v>
      </c>
      <c r="M22" s="189">
        <f t="shared" si="7"/>
        <v>-3428.5680428342444</v>
      </c>
      <c r="N22" s="190">
        <f t="shared" si="8"/>
        <v>-45259.95804283391</v>
      </c>
      <c r="O22" s="189">
        <v>0</v>
      </c>
      <c r="P22" s="189">
        <v>0</v>
      </c>
      <c r="Q22" s="189">
        <v>0</v>
      </c>
      <c r="R22" s="190">
        <f t="shared" si="9"/>
        <v>-45259.95804283391</v>
      </c>
    </row>
    <row r="23" spans="1:18" x14ac:dyDescent="0.25">
      <c r="A23" s="110">
        <v>4</v>
      </c>
      <c r="B23" s="181">
        <f t="shared" si="4"/>
        <v>45017</v>
      </c>
      <c r="C23" s="182">
        <v>45049</v>
      </c>
      <c r="D23" s="182">
        <v>45070</v>
      </c>
      <c r="E23" s="191" t="s">
        <v>21</v>
      </c>
      <c r="F23" s="221">
        <v>9</v>
      </c>
      <c r="G23" s="184">
        <v>2392</v>
      </c>
      <c r="H23" s="185">
        <f t="shared" si="5"/>
        <v>2687.49</v>
      </c>
      <c r="I23" s="185">
        <f t="shared" si="1"/>
        <v>2669.98</v>
      </c>
      <c r="J23" s="186">
        <f t="shared" si="2"/>
        <v>6386592.1600000001</v>
      </c>
      <c r="K23" s="187">
        <f t="shared" si="6"/>
        <v>6428476.0799999991</v>
      </c>
      <c r="L23" s="188">
        <f t="shared" si="3"/>
        <v>-41883.919999998994</v>
      </c>
      <c r="M23" s="189">
        <f t="shared" si="7"/>
        <v>-3432.8734861697417</v>
      </c>
      <c r="N23" s="190">
        <f t="shared" si="8"/>
        <v>-45316.793486168739</v>
      </c>
      <c r="O23" s="189">
        <v>0</v>
      </c>
      <c r="P23" s="189">
        <v>0</v>
      </c>
      <c r="Q23" s="189">
        <v>0</v>
      </c>
      <c r="R23" s="190">
        <f t="shared" si="9"/>
        <v>-45316.793486168739</v>
      </c>
    </row>
    <row r="24" spans="1:18" ht="12" customHeight="1" x14ac:dyDescent="0.25">
      <c r="A24" s="146">
        <v>5</v>
      </c>
      <c r="B24" s="181">
        <f t="shared" si="4"/>
        <v>45047</v>
      </c>
      <c r="C24" s="182">
        <v>45082</v>
      </c>
      <c r="D24" s="182">
        <v>45103</v>
      </c>
      <c r="E24" s="52" t="s">
        <v>21</v>
      </c>
      <c r="F24" s="221">
        <v>9</v>
      </c>
      <c r="G24" s="184">
        <v>3231</v>
      </c>
      <c r="H24" s="185">
        <f t="shared" si="5"/>
        <v>2687.49</v>
      </c>
      <c r="I24" s="185">
        <f t="shared" si="1"/>
        <v>2669.98</v>
      </c>
      <c r="J24" s="186">
        <f t="shared" si="2"/>
        <v>8626705.3800000008</v>
      </c>
      <c r="K24" s="187">
        <f t="shared" si="6"/>
        <v>8683280.1899999995</v>
      </c>
      <c r="L24" s="188">
        <f t="shared" si="3"/>
        <v>-56574.809999998659</v>
      </c>
      <c r="M24" s="189">
        <f t="shared" si="7"/>
        <v>-4636.9624723304496</v>
      </c>
      <c r="N24" s="190">
        <f t="shared" si="8"/>
        <v>-61211.77247232911</v>
      </c>
      <c r="O24" s="189">
        <v>0</v>
      </c>
      <c r="P24" s="189">
        <v>0</v>
      </c>
      <c r="Q24" s="189">
        <v>0</v>
      </c>
      <c r="R24" s="190">
        <f t="shared" si="9"/>
        <v>-61211.77247232911</v>
      </c>
    </row>
    <row r="25" spans="1:18" x14ac:dyDescent="0.25">
      <c r="A25" s="146">
        <v>6</v>
      </c>
      <c r="B25" s="181">
        <f t="shared" si="4"/>
        <v>45078</v>
      </c>
      <c r="C25" s="182">
        <v>45112</v>
      </c>
      <c r="D25" s="182">
        <v>45131</v>
      </c>
      <c r="E25" s="52" t="s">
        <v>21</v>
      </c>
      <c r="F25" s="221">
        <v>9</v>
      </c>
      <c r="G25" s="184">
        <v>4100</v>
      </c>
      <c r="H25" s="185">
        <f t="shared" si="5"/>
        <v>2687.49</v>
      </c>
      <c r="I25" s="185">
        <f t="shared" si="1"/>
        <v>2669.98</v>
      </c>
      <c r="J25" s="186">
        <f t="shared" si="2"/>
        <v>10946918</v>
      </c>
      <c r="K25" s="187">
        <f t="shared" si="6"/>
        <v>11018709</v>
      </c>
      <c r="L25" s="192">
        <f t="shared" si="3"/>
        <v>-71791</v>
      </c>
      <c r="M25" s="189">
        <f t="shared" si="7"/>
        <v>-5884.1058918461285</v>
      </c>
      <c r="N25" s="190">
        <f t="shared" si="8"/>
        <v>-77675.105891846135</v>
      </c>
      <c r="O25" s="189">
        <v>0</v>
      </c>
      <c r="P25" s="189">
        <v>0</v>
      </c>
      <c r="Q25" s="189">
        <v>0</v>
      </c>
      <c r="R25" s="190">
        <f t="shared" si="9"/>
        <v>-77675.105891846135</v>
      </c>
    </row>
    <row r="26" spans="1:18" x14ac:dyDescent="0.25">
      <c r="A26" s="110">
        <v>7</v>
      </c>
      <c r="B26" s="181">
        <f t="shared" si="4"/>
        <v>45108</v>
      </c>
      <c r="C26" s="182">
        <v>45141</v>
      </c>
      <c r="D26" s="182">
        <v>45162</v>
      </c>
      <c r="E26" s="52" t="s">
        <v>21</v>
      </c>
      <c r="F26" s="221">
        <v>9</v>
      </c>
      <c r="G26" s="184">
        <v>3988</v>
      </c>
      <c r="H26" s="185">
        <f t="shared" si="5"/>
        <v>2687.49</v>
      </c>
      <c r="I26" s="185">
        <f t="shared" si="1"/>
        <v>2669.98</v>
      </c>
      <c r="J26" s="186">
        <f t="shared" si="2"/>
        <v>10647880.24</v>
      </c>
      <c r="K26" s="193">
        <f t="shared" si="6"/>
        <v>10717710.119999999</v>
      </c>
      <c r="L26" s="192">
        <f t="shared" si="3"/>
        <v>-69829.879999998957</v>
      </c>
      <c r="M26" s="189">
        <f t="shared" si="7"/>
        <v>-5723.3693406542352</v>
      </c>
      <c r="N26" s="190">
        <f t="shared" si="8"/>
        <v>-75553.249340653187</v>
      </c>
      <c r="O26" s="189">
        <v>0</v>
      </c>
      <c r="P26" s="189">
        <v>0</v>
      </c>
      <c r="Q26" s="189">
        <v>0</v>
      </c>
      <c r="R26" s="190">
        <f t="shared" si="9"/>
        <v>-75553.249340653187</v>
      </c>
    </row>
    <row r="27" spans="1:18" x14ac:dyDescent="0.25">
      <c r="A27" s="146">
        <v>8</v>
      </c>
      <c r="B27" s="181">
        <f t="shared" si="4"/>
        <v>45139</v>
      </c>
      <c r="C27" s="182">
        <v>45174</v>
      </c>
      <c r="D27" s="182">
        <v>45194</v>
      </c>
      <c r="E27" s="52" t="s">
        <v>21</v>
      </c>
      <c r="F27" s="221">
        <v>9</v>
      </c>
      <c r="G27" s="184">
        <v>4265</v>
      </c>
      <c r="H27" s="185">
        <f t="shared" si="5"/>
        <v>2687.49</v>
      </c>
      <c r="I27" s="185">
        <f t="shared" si="1"/>
        <v>2669.98</v>
      </c>
      <c r="J27" s="186">
        <f t="shared" si="2"/>
        <v>11387464.699999999</v>
      </c>
      <c r="K27" s="193">
        <f t="shared" si="6"/>
        <v>11462144.85</v>
      </c>
      <c r="L27" s="192">
        <f t="shared" si="3"/>
        <v>-74680.150000000373</v>
      </c>
      <c r="M27" s="189">
        <f t="shared" si="7"/>
        <v>-6120.9052752984726</v>
      </c>
      <c r="N27" s="190">
        <f t="shared" si="8"/>
        <v>-80801.055275298844</v>
      </c>
      <c r="O27" s="189">
        <v>0</v>
      </c>
      <c r="P27" s="189">
        <v>0</v>
      </c>
      <c r="Q27" s="189">
        <v>0</v>
      </c>
      <c r="R27" s="190">
        <f t="shared" si="9"/>
        <v>-80801.055275298844</v>
      </c>
    </row>
    <row r="28" spans="1:18" x14ac:dyDescent="0.25">
      <c r="A28" s="146">
        <v>9</v>
      </c>
      <c r="B28" s="181">
        <f t="shared" si="4"/>
        <v>45170</v>
      </c>
      <c r="C28" s="182">
        <v>45203</v>
      </c>
      <c r="D28" s="182">
        <v>45223</v>
      </c>
      <c r="E28" s="52" t="s">
        <v>21</v>
      </c>
      <c r="F28" s="221">
        <v>9</v>
      </c>
      <c r="G28" s="184">
        <v>4016</v>
      </c>
      <c r="H28" s="185">
        <f t="shared" si="5"/>
        <v>2687.49</v>
      </c>
      <c r="I28" s="185">
        <f t="shared" si="1"/>
        <v>2669.98</v>
      </c>
      <c r="J28" s="186">
        <f t="shared" si="2"/>
        <v>10722639.68</v>
      </c>
      <c r="K28" s="193">
        <f t="shared" si="6"/>
        <v>10792959.84</v>
      </c>
      <c r="L28" s="192">
        <f t="shared" si="3"/>
        <v>-70320.160000000149</v>
      </c>
      <c r="M28" s="189">
        <f t="shared" si="7"/>
        <v>-5763.5534784522088</v>
      </c>
      <c r="N28" s="190">
        <f t="shared" si="8"/>
        <v>-76083.713478452351</v>
      </c>
      <c r="O28" s="189">
        <v>0</v>
      </c>
      <c r="P28" s="189">
        <v>0</v>
      </c>
      <c r="Q28" s="189">
        <v>0</v>
      </c>
      <c r="R28" s="190">
        <f t="shared" si="9"/>
        <v>-76083.713478452351</v>
      </c>
    </row>
    <row r="29" spans="1:18" x14ac:dyDescent="0.25">
      <c r="A29" s="110">
        <v>10</v>
      </c>
      <c r="B29" s="181">
        <f t="shared" si="4"/>
        <v>45200</v>
      </c>
      <c r="C29" s="182">
        <v>45233</v>
      </c>
      <c r="D29" s="182">
        <v>45254</v>
      </c>
      <c r="E29" s="52" t="s">
        <v>21</v>
      </c>
      <c r="F29" s="221">
        <v>9</v>
      </c>
      <c r="G29" s="184">
        <v>3105</v>
      </c>
      <c r="H29" s="185">
        <f t="shared" si="5"/>
        <v>2687.49</v>
      </c>
      <c r="I29" s="185">
        <f t="shared" si="1"/>
        <v>2669.98</v>
      </c>
      <c r="J29" s="186">
        <f t="shared" si="2"/>
        <v>8290287.9000000004</v>
      </c>
      <c r="K29" s="193">
        <f t="shared" si="6"/>
        <v>8344656.4499999993</v>
      </c>
      <c r="L29" s="192">
        <f t="shared" si="3"/>
        <v>-54368.549999998882</v>
      </c>
      <c r="M29" s="189">
        <f t="shared" si="7"/>
        <v>-4456.1338522395681</v>
      </c>
      <c r="N29" s="190">
        <f t="shared" si="8"/>
        <v>-58824.68385223845</v>
      </c>
      <c r="O29" s="189">
        <v>0</v>
      </c>
      <c r="P29" s="189">
        <v>0</v>
      </c>
      <c r="Q29" s="189">
        <v>0</v>
      </c>
      <c r="R29" s="190">
        <f t="shared" si="9"/>
        <v>-58824.68385223845</v>
      </c>
    </row>
    <row r="30" spans="1:18" x14ac:dyDescent="0.25">
      <c r="A30" s="146">
        <v>11</v>
      </c>
      <c r="B30" s="181">
        <f t="shared" si="4"/>
        <v>45231</v>
      </c>
      <c r="C30" s="182">
        <v>45266</v>
      </c>
      <c r="D30" s="182">
        <v>45285</v>
      </c>
      <c r="E30" s="52" t="s">
        <v>21</v>
      </c>
      <c r="F30" s="221">
        <v>9</v>
      </c>
      <c r="G30" s="184">
        <v>2513</v>
      </c>
      <c r="H30" s="185">
        <f t="shared" si="5"/>
        <v>2687.49</v>
      </c>
      <c r="I30" s="185">
        <f t="shared" si="1"/>
        <v>2669.98</v>
      </c>
      <c r="J30" s="186">
        <f t="shared" si="2"/>
        <v>6709659.7400000002</v>
      </c>
      <c r="K30" s="193">
        <f t="shared" si="6"/>
        <v>6753662.3699999992</v>
      </c>
      <c r="L30" s="192">
        <f t="shared" si="3"/>
        <v>-44002.629999998957</v>
      </c>
      <c r="M30" s="189">
        <f t="shared" si="7"/>
        <v>-3606.5263673681275</v>
      </c>
      <c r="N30" s="190">
        <f t="shared" si="8"/>
        <v>-47609.156367367083</v>
      </c>
      <c r="O30" s="189">
        <v>0</v>
      </c>
      <c r="P30" s="189">
        <v>0</v>
      </c>
      <c r="Q30" s="189">
        <v>0</v>
      </c>
      <c r="R30" s="190">
        <f t="shared" si="9"/>
        <v>-47609.156367367083</v>
      </c>
    </row>
    <row r="31" spans="1:18" x14ac:dyDescent="0.25">
      <c r="A31" s="146">
        <v>12</v>
      </c>
      <c r="B31" s="181">
        <f t="shared" si="4"/>
        <v>45261</v>
      </c>
      <c r="C31" s="194">
        <v>45294</v>
      </c>
      <c r="D31" s="195">
        <v>45315</v>
      </c>
      <c r="E31" s="52" t="s">
        <v>21</v>
      </c>
      <c r="F31" s="221">
        <v>9</v>
      </c>
      <c r="G31" s="184">
        <v>2474</v>
      </c>
      <c r="H31" s="197">
        <f t="shared" si="5"/>
        <v>2687.49</v>
      </c>
      <c r="I31" s="197">
        <f t="shared" si="1"/>
        <v>2669.98</v>
      </c>
      <c r="J31" s="198">
        <f t="shared" si="2"/>
        <v>6605530.5200000005</v>
      </c>
      <c r="K31" s="199">
        <f t="shared" si="6"/>
        <v>6648850.2599999998</v>
      </c>
      <c r="L31" s="200">
        <f t="shared" si="3"/>
        <v>-43319.739999999292</v>
      </c>
      <c r="M31" s="189">
        <f t="shared" si="7"/>
        <v>-3550.555604006664</v>
      </c>
      <c r="N31" s="190">
        <f t="shared" si="8"/>
        <v>-46870.295604005958</v>
      </c>
      <c r="O31" s="189">
        <v>0</v>
      </c>
      <c r="P31" s="189">
        <v>0</v>
      </c>
      <c r="Q31" s="189">
        <v>0</v>
      </c>
      <c r="R31" s="190">
        <f t="shared" si="9"/>
        <v>-46870.295604005958</v>
      </c>
    </row>
    <row r="32" spans="1:18" x14ac:dyDescent="0.25">
      <c r="A32" s="110">
        <v>1</v>
      </c>
      <c r="B32" s="201">
        <f t="shared" si="4"/>
        <v>44927</v>
      </c>
      <c r="C32" s="202">
        <f t="shared" ref="C32:D43" si="10">+C20</f>
        <v>44960</v>
      </c>
      <c r="D32" s="202">
        <f t="shared" si="10"/>
        <v>44981</v>
      </c>
      <c r="E32" s="203" t="s">
        <v>22</v>
      </c>
      <c r="F32" s="222">
        <v>9</v>
      </c>
      <c r="G32" s="184">
        <v>2724</v>
      </c>
      <c r="H32" s="185">
        <f t="shared" si="5"/>
        <v>2687.49</v>
      </c>
      <c r="I32" s="185">
        <f t="shared" si="1"/>
        <v>2669.98</v>
      </c>
      <c r="J32" s="186">
        <f t="shared" si="2"/>
        <v>7273025.5200000005</v>
      </c>
      <c r="K32" s="187">
        <f t="shared" si="6"/>
        <v>7320722.7599999998</v>
      </c>
      <c r="L32" s="188">
        <f t="shared" si="3"/>
        <v>-47697.239999999292</v>
      </c>
      <c r="M32" s="189">
        <f t="shared" si="7"/>
        <v>-3909.3425486314281</v>
      </c>
      <c r="N32" s="190">
        <f t="shared" si="8"/>
        <v>-51606.582548630722</v>
      </c>
      <c r="O32" s="189">
        <v>0</v>
      </c>
      <c r="P32" s="189">
        <v>0</v>
      </c>
      <c r="Q32" s="189">
        <v>0</v>
      </c>
      <c r="R32" s="190">
        <f t="shared" si="9"/>
        <v>-51606.582548630722</v>
      </c>
    </row>
    <row r="33" spans="1:18" x14ac:dyDescent="0.25">
      <c r="A33" s="146">
        <v>2</v>
      </c>
      <c r="B33" s="181">
        <f t="shared" si="4"/>
        <v>44958</v>
      </c>
      <c r="C33" s="204">
        <f t="shared" si="10"/>
        <v>44988</v>
      </c>
      <c r="D33" s="204">
        <f t="shared" si="10"/>
        <v>45009</v>
      </c>
      <c r="E33" s="191" t="s">
        <v>22</v>
      </c>
      <c r="F33" s="221">
        <v>9</v>
      </c>
      <c r="G33" s="184">
        <v>2757</v>
      </c>
      <c r="H33" s="185">
        <f t="shared" si="5"/>
        <v>2687.49</v>
      </c>
      <c r="I33" s="185">
        <f t="shared" si="1"/>
        <v>2669.98</v>
      </c>
      <c r="J33" s="186">
        <f t="shared" si="2"/>
        <v>7361134.8600000003</v>
      </c>
      <c r="K33" s="187">
        <f t="shared" si="6"/>
        <v>7409409.9299999997</v>
      </c>
      <c r="L33" s="188">
        <f t="shared" si="3"/>
        <v>-48275.069999999367</v>
      </c>
      <c r="M33" s="189">
        <f t="shared" si="7"/>
        <v>-3956.702425321897</v>
      </c>
      <c r="N33" s="190">
        <f t="shared" si="8"/>
        <v>-52231.772425321265</v>
      </c>
      <c r="O33" s="189">
        <v>0</v>
      </c>
      <c r="P33" s="189">
        <v>0</v>
      </c>
      <c r="Q33" s="189">
        <v>0</v>
      </c>
      <c r="R33" s="190">
        <f t="shared" si="9"/>
        <v>-52231.772425321265</v>
      </c>
    </row>
    <row r="34" spans="1:18" x14ac:dyDescent="0.25">
      <c r="A34" s="146">
        <v>3</v>
      </c>
      <c r="B34" s="181">
        <f t="shared" si="4"/>
        <v>44986</v>
      </c>
      <c r="C34" s="204">
        <f t="shared" si="10"/>
        <v>45021</v>
      </c>
      <c r="D34" s="204">
        <f t="shared" si="10"/>
        <v>45040</v>
      </c>
      <c r="E34" s="191" t="s">
        <v>22</v>
      </c>
      <c r="F34" s="221">
        <v>9</v>
      </c>
      <c r="G34" s="184">
        <v>2641</v>
      </c>
      <c r="H34" s="185">
        <f t="shared" si="5"/>
        <v>2687.49</v>
      </c>
      <c r="I34" s="185">
        <f t="shared" si="1"/>
        <v>2669.98</v>
      </c>
      <c r="J34" s="186">
        <f t="shared" si="2"/>
        <v>7051417.1799999997</v>
      </c>
      <c r="K34" s="187">
        <f t="shared" ref="K34:K93" si="11">+$G34*H34</f>
        <v>7097661.0899999999</v>
      </c>
      <c r="L34" s="188">
        <f t="shared" si="3"/>
        <v>-46243.910000000149</v>
      </c>
      <c r="M34" s="189">
        <f t="shared" si="7"/>
        <v>-3790.2252830160064</v>
      </c>
      <c r="N34" s="190">
        <f t="shared" si="8"/>
        <v>-50034.135283016156</v>
      </c>
      <c r="O34" s="189">
        <v>0</v>
      </c>
      <c r="P34" s="189">
        <v>0</v>
      </c>
      <c r="Q34" s="189">
        <v>0</v>
      </c>
      <c r="R34" s="190">
        <f t="shared" si="9"/>
        <v>-50034.135283016156</v>
      </c>
    </row>
    <row r="35" spans="1:18" x14ac:dyDescent="0.25">
      <c r="A35" s="110">
        <v>4</v>
      </c>
      <c r="B35" s="181">
        <f t="shared" si="4"/>
        <v>45017</v>
      </c>
      <c r="C35" s="204">
        <f t="shared" si="10"/>
        <v>45049</v>
      </c>
      <c r="D35" s="204">
        <f t="shared" si="10"/>
        <v>45070</v>
      </c>
      <c r="E35" s="191" t="s">
        <v>22</v>
      </c>
      <c r="F35" s="221">
        <v>9</v>
      </c>
      <c r="G35" s="184">
        <v>2417</v>
      </c>
      <c r="H35" s="185">
        <f t="shared" si="5"/>
        <v>2687.49</v>
      </c>
      <c r="I35" s="185">
        <f t="shared" si="1"/>
        <v>2669.98</v>
      </c>
      <c r="J35" s="186">
        <f t="shared" si="2"/>
        <v>6453341.6600000001</v>
      </c>
      <c r="K35" s="187">
        <f t="shared" si="11"/>
        <v>6495663.3299999991</v>
      </c>
      <c r="L35" s="188">
        <f t="shared" ref="L35:L57" si="12">+J35-K35</f>
        <v>-42321.669999998994</v>
      </c>
      <c r="M35" s="189">
        <f t="shared" si="7"/>
        <v>-3468.7521806322179</v>
      </c>
      <c r="N35" s="190">
        <f t="shared" si="8"/>
        <v>-45790.422180631213</v>
      </c>
      <c r="O35" s="189">
        <v>0</v>
      </c>
      <c r="P35" s="189">
        <v>0</v>
      </c>
      <c r="Q35" s="189">
        <v>0</v>
      </c>
      <c r="R35" s="190">
        <f t="shared" si="9"/>
        <v>-45790.422180631213</v>
      </c>
    </row>
    <row r="36" spans="1:18" x14ac:dyDescent="0.25">
      <c r="A36" s="146">
        <v>5</v>
      </c>
      <c r="B36" s="181">
        <f t="shared" si="4"/>
        <v>45047</v>
      </c>
      <c r="C36" s="204">
        <f t="shared" si="10"/>
        <v>45082</v>
      </c>
      <c r="D36" s="204">
        <f t="shared" si="10"/>
        <v>45103</v>
      </c>
      <c r="E36" s="52" t="s">
        <v>22</v>
      </c>
      <c r="F36" s="221">
        <v>9</v>
      </c>
      <c r="G36" s="184">
        <v>2844</v>
      </c>
      <c r="H36" s="185">
        <f t="shared" si="5"/>
        <v>2687.49</v>
      </c>
      <c r="I36" s="185">
        <f t="shared" si="1"/>
        <v>2669.98</v>
      </c>
      <c r="J36" s="186">
        <f t="shared" si="2"/>
        <v>7593423.1200000001</v>
      </c>
      <c r="K36" s="187">
        <f t="shared" si="11"/>
        <v>7643221.5599999996</v>
      </c>
      <c r="L36" s="188">
        <f t="shared" si="12"/>
        <v>-49798.439999999478</v>
      </c>
      <c r="M36" s="189">
        <f t="shared" si="7"/>
        <v>-4081.5602820513145</v>
      </c>
      <c r="N36" s="190">
        <f t="shared" si="8"/>
        <v>-53880.000282050794</v>
      </c>
      <c r="O36" s="189">
        <v>0</v>
      </c>
      <c r="P36" s="189">
        <v>0</v>
      </c>
      <c r="Q36" s="189">
        <v>0</v>
      </c>
      <c r="R36" s="190">
        <f t="shared" si="9"/>
        <v>-53880.000282050794</v>
      </c>
    </row>
    <row r="37" spans="1:18" x14ac:dyDescent="0.25">
      <c r="A37" s="146">
        <v>6</v>
      </c>
      <c r="B37" s="181">
        <f t="shared" si="4"/>
        <v>45078</v>
      </c>
      <c r="C37" s="204">
        <f t="shared" si="10"/>
        <v>45112</v>
      </c>
      <c r="D37" s="204">
        <f t="shared" si="10"/>
        <v>45131</v>
      </c>
      <c r="E37" s="52" t="s">
        <v>22</v>
      </c>
      <c r="F37" s="221">
        <v>9</v>
      </c>
      <c r="G37" s="184">
        <v>3500</v>
      </c>
      <c r="H37" s="185">
        <f t="shared" si="5"/>
        <v>2687.49</v>
      </c>
      <c r="I37" s="185">
        <f t="shared" si="1"/>
        <v>2669.98</v>
      </c>
      <c r="J37" s="186">
        <f t="shared" si="2"/>
        <v>9344930</v>
      </c>
      <c r="K37" s="187">
        <f t="shared" si="11"/>
        <v>9406215</v>
      </c>
      <c r="L37" s="192">
        <f t="shared" si="12"/>
        <v>-61285</v>
      </c>
      <c r="M37" s="189">
        <f t="shared" si="7"/>
        <v>-5023.0172247466953</v>
      </c>
      <c r="N37" s="190">
        <f t="shared" si="8"/>
        <v>-66308.017224746698</v>
      </c>
      <c r="O37" s="189">
        <v>0</v>
      </c>
      <c r="P37" s="189">
        <v>0</v>
      </c>
      <c r="Q37" s="189">
        <v>0</v>
      </c>
      <c r="R37" s="190">
        <f t="shared" si="9"/>
        <v>-66308.017224746698</v>
      </c>
    </row>
    <row r="38" spans="1:18" x14ac:dyDescent="0.25">
      <c r="A38" s="110">
        <v>7</v>
      </c>
      <c r="B38" s="181">
        <f t="shared" si="4"/>
        <v>45108</v>
      </c>
      <c r="C38" s="204">
        <f t="shared" si="10"/>
        <v>45141</v>
      </c>
      <c r="D38" s="204">
        <f t="shared" si="10"/>
        <v>45162</v>
      </c>
      <c r="E38" s="52" t="s">
        <v>22</v>
      </c>
      <c r="F38" s="221">
        <v>9</v>
      </c>
      <c r="G38" s="184">
        <v>3569</v>
      </c>
      <c r="H38" s="185">
        <f t="shared" si="5"/>
        <v>2687.49</v>
      </c>
      <c r="I38" s="185">
        <f t="shared" si="1"/>
        <v>2669.98</v>
      </c>
      <c r="J38" s="186">
        <f t="shared" si="2"/>
        <v>9529158.6199999992</v>
      </c>
      <c r="K38" s="193">
        <f t="shared" si="11"/>
        <v>9591651.8099999987</v>
      </c>
      <c r="L38" s="192">
        <f t="shared" si="12"/>
        <v>-62493.189999999478</v>
      </c>
      <c r="M38" s="189">
        <f t="shared" si="7"/>
        <v>-5122.0424214631303</v>
      </c>
      <c r="N38" s="190">
        <f t="shared" si="8"/>
        <v>-67615.232421462613</v>
      </c>
      <c r="O38" s="189">
        <v>0</v>
      </c>
      <c r="P38" s="189">
        <v>0</v>
      </c>
      <c r="Q38" s="189">
        <v>0</v>
      </c>
      <c r="R38" s="190">
        <f t="shared" si="9"/>
        <v>-67615.232421462613</v>
      </c>
    </row>
    <row r="39" spans="1:18" x14ac:dyDescent="0.25">
      <c r="A39" s="146">
        <v>8</v>
      </c>
      <c r="B39" s="181">
        <f t="shared" si="4"/>
        <v>45139</v>
      </c>
      <c r="C39" s="204">
        <f t="shared" si="10"/>
        <v>45174</v>
      </c>
      <c r="D39" s="204">
        <f t="shared" si="10"/>
        <v>45194</v>
      </c>
      <c r="E39" s="52" t="s">
        <v>22</v>
      </c>
      <c r="F39" s="221">
        <v>9</v>
      </c>
      <c r="G39" s="184">
        <v>3766</v>
      </c>
      <c r="H39" s="185">
        <f t="shared" si="5"/>
        <v>2687.49</v>
      </c>
      <c r="I39" s="185">
        <f t="shared" si="1"/>
        <v>2669.98</v>
      </c>
      <c r="J39" s="186">
        <f t="shared" si="2"/>
        <v>10055144.68</v>
      </c>
      <c r="K39" s="193">
        <f t="shared" si="11"/>
        <v>10121087.34</v>
      </c>
      <c r="L39" s="192">
        <f t="shared" si="12"/>
        <v>-65942.660000000149</v>
      </c>
      <c r="M39" s="189">
        <f t="shared" si="7"/>
        <v>-5404.7665338274437</v>
      </c>
      <c r="N39" s="190">
        <f t="shared" si="8"/>
        <v>-71347.426533827587</v>
      </c>
      <c r="O39" s="189">
        <v>0</v>
      </c>
      <c r="P39" s="189">
        <v>0</v>
      </c>
      <c r="Q39" s="189">
        <v>0</v>
      </c>
      <c r="R39" s="190">
        <f t="shared" si="9"/>
        <v>-71347.426533827587</v>
      </c>
    </row>
    <row r="40" spans="1:18" x14ac:dyDescent="0.25">
      <c r="A40" s="146">
        <v>9</v>
      </c>
      <c r="B40" s="181">
        <f t="shared" si="4"/>
        <v>45170</v>
      </c>
      <c r="C40" s="204">
        <f t="shared" si="10"/>
        <v>45203</v>
      </c>
      <c r="D40" s="204">
        <f t="shared" si="10"/>
        <v>45223</v>
      </c>
      <c r="E40" s="52" t="s">
        <v>22</v>
      </c>
      <c r="F40" s="221">
        <v>9</v>
      </c>
      <c r="G40" s="184">
        <v>3456</v>
      </c>
      <c r="H40" s="185">
        <f t="shared" si="5"/>
        <v>2687.49</v>
      </c>
      <c r="I40" s="185">
        <f t="shared" si="1"/>
        <v>2669.98</v>
      </c>
      <c r="J40" s="186">
        <f t="shared" si="2"/>
        <v>9227450.8800000008</v>
      </c>
      <c r="K40" s="193">
        <f t="shared" si="11"/>
        <v>9287965.4399999995</v>
      </c>
      <c r="L40" s="192">
        <f t="shared" si="12"/>
        <v>-60514.559999998659</v>
      </c>
      <c r="M40" s="189">
        <f t="shared" si="7"/>
        <v>-4959.8707224927375</v>
      </c>
      <c r="N40" s="190">
        <f t="shared" si="8"/>
        <v>-65474.430722491394</v>
      </c>
      <c r="O40" s="189">
        <v>0</v>
      </c>
      <c r="P40" s="189">
        <v>0</v>
      </c>
      <c r="Q40" s="189">
        <v>0</v>
      </c>
      <c r="R40" s="190">
        <f t="shared" si="9"/>
        <v>-65474.430722491394</v>
      </c>
    </row>
    <row r="41" spans="1:18" x14ac:dyDescent="0.25">
      <c r="A41" s="110">
        <v>10</v>
      </c>
      <c r="B41" s="181">
        <f t="shared" si="4"/>
        <v>45200</v>
      </c>
      <c r="C41" s="204">
        <f t="shared" si="10"/>
        <v>45233</v>
      </c>
      <c r="D41" s="204">
        <f t="shared" si="10"/>
        <v>45254</v>
      </c>
      <c r="E41" s="52" t="s">
        <v>22</v>
      </c>
      <c r="F41" s="221">
        <v>9</v>
      </c>
      <c r="G41" s="184">
        <v>2810</v>
      </c>
      <c r="H41" s="185">
        <f t="shared" si="5"/>
        <v>2687.49</v>
      </c>
      <c r="I41" s="185">
        <f t="shared" si="1"/>
        <v>2669.98</v>
      </c>
      <c r="J41" s="186">
        <f t="shared" si="2"/>
        <v>7502643.7999999998</v>
      </c>
      <c r="K41" s="193">
        <f t="shared" si="11"/>
        <v>7551846.8999999994</v>
      </c>
      <c r="L41" s="192">
        <f t="shared" si="12"/>
        <v>-49203.099999999627</v>
      </c>
      <c r="M41" s="189">
        <f t="shared" si="7"/>
        <v>-4032.7652575823467</v>
      </c>
      <c r="N41" s="190">
        <f t="shared" si="8"/>
        <v>-53235.865257581972</v>
      </c>
      <c r="O41" s="189">
        <v>0</v>
      </c>
      <c r="P41" s="189">
        <v>0</v>
      </c>
      <c r="Q41" s="189">
        <v>0</v>
      </c>
      <c r="R41" s="190">
        <f t="shared" si="9"/>
        <v>-53235.865257581972</v>
      </c>
    </row>
    <row r="42" spans="1:18" x14ac:dyDescent="0.25">
      <c r="A42" s="146">
        <v>11</v>
      </c>
      <c r="B42" s="181">
        <f t="shared" si="4"/>
        <v>45231</v>
      </c>
      <c r="C42" s="204">
        <f t="shared" si="10"/>
        <v>45266</v>
      </c>
      <c r="D42" s="204">
        <f t="shared" si="10"/>
        <v>45285</v>
      </c>
      <c r="E42" s="52" t="s">
        <v>22</v>
      </c>
      <c r="F42" s="221">
        <v>9</v>
      </c>
      <c r="G42" s="184">
        <v>2499</v>
      </c>
      <c r="H42" s="185">
        <f t="shared" si="5"/>
        <v>2687.49</v>
      </c>
      <c r="I42" s="185">
        <f t="shared" si="1"/>
        <v>2669.98</v>
      </c>
      <c r="J42" s="186">
        <f t="shared" si="2"/>
        <v>6672280.0200000005</v>
      </c>
      <c r="K42" s="193">
        <f t="shared" si="11"/>
        <v>6716037.5099999998</v>
      </c>
      <c r="L42" s="192">
        <f t="shared" si="12"/>
        <v>-43757.489999999292</v>
      </c>
      <c r="M42" s="189">
        <f t="shared" si="7"/>
        <v>-3586.4342984691407</v>
      </c>
      <c r="N42" s="190">
        <f t="shared" si="8"/>
        <v>-47343.924298468432</v>
      </c>
      <c r="O42" s="189">
        <v>0</v>
      </c>
      <c r="P42" s="189">
        <v>0</v>
      </c>
      <c r="Q42" s="189">
        <v>0</v>
      </c>
      <c r="R42" s="190">
        <f t="shared" si="9"/>
        <v>-47343.924298468432</v>
      </c>
    </row>
    <row r="43" spans="1:18" x14ac:dyDescent="0.25">
      <c r="A43" s="146">
        <v>12</v>
      </c>
      <c r="B43" s="181">
        <f t="shared" si="4"/>
        <v>45261</v>
      </c>
      <c r="C43" s="204">
        <f t="shared" si="10"/>
        <v>45294</v>
      </c>
      <c r="D43" s="204">
        <f t="shared" si="10"/>
        <v>45315</v>
      </c>
      <c r="E43" s="52" t="s">
        <v>22</v>
      </c>
      <c r="F43" s="221">
        <v>9</v>
      </c>
      <c r="G43" s="196">
        <v>2532</v>
      </c>
      <c r="H43" s="197">
        <f t="shared" si="5"/>
        <v>2687.49</v>
      </c>
      <c r="I43" s="197">
        <f t="shared" si="1"/>
        <v>2669.98</v>
      </c>
      <c r="J43" s="198">
        <f t="shared" si="2"/>
        <v>6760389.3600000003</v>
      </c>
      <c r="K43" s="199">
        <f t="shared" si="11"/>
        <v>6804724.6799999997</v>
      </c>
      <c r="L43" s="200">
        <f t="shared" si="12"/>
        <v>-44335.319999999367</v>
      </c>
      <c r="M43" s="189">
        <f t="shared" si="7"/>
        <v>-3633.7941751596095</v>
      </c>
      <c r="N43" s="190">
        <f t="shared" si="8"/>
        <v>-47969.114175158975</v>
      </c>
      <c r="O43" s="189">
        <v>0</v>
      </c>
      <c r="P43" s="189">
        <v>0</v>
      </c>
      <c r="Q43" s="189">
        <v>0</v>
      </c>
      <c r="R43" s="190">
        <f t="shared" si="9"/>
        <v>-47969.114175158975</v>
      </c>
    </row>
    <row r="44" spans="1:18" x14ac:dyDescent="0.25">
      <c r="A44" s="110">
        <v>1</v>
      </c>
      <c r="B44" s="201">
        <f t="shared" ref="B44:B55" si="13">DATE($R$1,A44,1)</f>
        <v>44927</v>
      </c>
      <c r="C44" s="202">
        <f t="shared" ref="C44:D55" si="14">+C32</f>
        <v>44960</v>
      </c>
      <c r="D44" s="202">
        <f t="shared" si="14"/>
        <v>44981</v>
      </c>
      <c r="E44" s="203" t="s">
        <v>81</v>
      </c>
      <c r="F44" s="222">
        <v>9</v>
      </c>
      <c r="G44" s="184">
        <v>137</v>
      </c>
      <c r="H44" s="185">
        <f t="shared" si="5"/>
        <v>2687.49</v>
      </c>
      <c r="I44" s="185">
        <f t="shared" si="1"/>
        <v>2669.98</v>
      </c>
      <c r="J44" s="189">
        <f t="shared" ref="J44:J55" si="15">+$G44*I44</f>
        <v>365787.26</v>
      </c>
      <c r="K44" s="193">
        <f t="shared" ref="K44:K55" si="16">+$G44*H44</f>
        <v>368186.12999999995</v>
      </c>
      <c r="L44" s="192">
        <f t="shared" ref="L44:L55" si="17">+J44-K44</f>
        <v>-2398.8699999999371</v>
      </c>
      <c r="M44" s="189">
        <f t="shared" si="7"/>
        <v>-196.61524565437063</v>
      </c>
      <c r="N44" s="190">
        <f t="shared" si="8"/>
        <v>-2595.4852456543076</v>
      </c>
      <c r="O44" s="189">
        <v>0</v>
      </c>
      <c r="P44" s="189">
        <v>0</v>
      </c>
      <c r="Q44" s="189">
        <v>0</v>
      </c>
      <c r="R44" s="190">
        <f t="shared" si="9"/>
        <v>-2595.4852456543076</v>
      </c>
    </row>
    <row r="45" spans="1:18" x14ac:dyDescent="0.25">
      <c r="A45" s="146">
        <v>2</v>
      </c>
      <c r="B45" s="181">
        <f t="shared" si="13"/>
        <v>44958</v>
      </c>
      <c r="C45" s="204">
        <f t="shared" si="14"/>
        <v>44988</v>
      </c>
      <c r="D45" s="204">
        <f t="shared" si="14"/>
        <v>45009</v>
      </c>
      <c r="E45" s="191" t="s">
        <v>81</v>
      </c>
      <c r="F45" s="221">
        <v>9</v>
      </c>
      <c r="G45" s="184">
        <v>132</v>
      </c>
      <c r="H45" s="185">
        <f t="shared" si="5"/>
        <v>2687.49</v>
      </c>
      <c r="I45" s="185">
        <f t="shared" si="1"/>
        <v>2669.98</v>
      </c>
      <c r="J45" s="189">
        <f t="shared" si="15"/>
        <v>352437.36</v>
      </c>
      <c r="K45" s="193">
        <f t="shared" si="16"/>
        <v>354748.68</v>
      </c>
      <c r="L45" s="192">
        <f t="shared" si="17"/>
        <v>-2311.320000000007</v>
      </c>
      <c r="M45" s="189">
        <f t="shared" si="7"/>
        <v>-189.43950676187538</v>
      </c>
      <c r="N45" s="190">
        <f t="shared" si="8"/>
        <v>-2500.7595067618822</v>
      </c>
      <c r="O45" s="189">
        <v>0</v>
      </c>
      <c r="P45" s="189">
        <v>0</v>
      </c>
      <c r="Q45" s="189">
        <v>0</v>
      </c>
      <c r="R45" s="190">
        <f t="shared" si="9"/>
        <v>-2500.7595067618822</v>
      </c>
    </row>
    <row r="46" spans="1:18" x14ac:dyDescent="0.25">
      <c r="A46" s="146">
        <v>3</v>
      </c>
      <c r="B46" s="181">
        <f t="shared" si="13"/>
        <v>44986</v>
      </c>
      <c r="C46" s="204">
        <f t="shared" si="14"/>
        <v>45021</v>
      </c>
      <c r="D46" s="204">
        <f t="shared" si="14"/>
        <v>45040</v>
      </c>
      <c r="E46" s="191" t="s">
        <v>81</v>
      </c>
      <c r="F46" s="221">
        <v>9</v>
      </c>
      <c r="G46" s="184">
        <v>148</v>
      </c>
      <c r="H46" s="185">
        <f t="shared" si="5"/>
        <v>2687.49</v>
      </c>
      <c r="I46" s="185">
        <f t="shared" si="1"/>
        <v>2669.98</v>
      </c>
      <c r="J46" s="189">
        <f t="shared" si="15"/>
        <v>395157.04</v>
      </c>
      <c r="K46" s="193">
        <f t="shared" si="16"/>
        <v>397748.51999999996</v>
      </c>
      <c r="L46" s="192">
        <f t="shared" si="17"/>
        <v>-2591.4799999999814</v>
      </c>
      <c r="M46" s="189">
        <f t="shared" si="7"/>
        <v>-212.40187121786025</v>
      </c>
      <c r="N46" s="190">
        <f t="shared" si="8"/>
        <v>-2803.8818712178418</v>
      </c>
      <c r="O46" s="189">
        <v>0</v>
      </c>
      <c r="P46" s="189">
        <v>0</v>
      </c>
      <c r="Q46" s="189">
        <v>0</v>
      </c>
      <c r="R46" s="190">
        <f t="shared" si="9"/>
        <v>-2803.8818712178418</v>
      </c>
    </row>
    <row r="47" spans="1:18" x14ac:dyDescent="0.25">
      <c r="A47" s="110">
        <v>4</v>
      </c>
      <c r="B47" s="181">
        <f t="shared" si="13"/>
        <v>45017</v>
      </c>
      <c r="C47" s="204">
        <f t="shared" si="14"/>
        <v>45049</v>
      </c>
      <c r="D47" s="204">
        <f t="shared" si="14"/>
        <v>45070</v>
      </c>
      <c r="E47" s="191" t="s">
        <v>81</v>
      </c>
      <c r="F47" s="221">
        <v>9</v>
      </c>
      <c r="G47" s="184">
        <v>92</v>
      </c>
      <c r="H47" s="185">
        <f t="shared" si="5"/>
        <v>2687.49</v>
      </c>
      <c r="I47" s="185">
        <f t="shared" si="1"/>
        <v>2669.98</v>
      </c>
      <c r="J47" s="189">
        <f t="shared" si="15"/>
        <v>245638.16</v>
      </c>
      <c r="K47" s="193">
        <f t="shared" si="16"/>
        <v>247249.08</v>
      </c>
      <c r="L47" s="192">
        <f t="shared" si="17"/>
        <v>-1610.9199999999837</v>
      </c>
      <c r="M47" s="189">
        <f t="shared" si="7"/>
        <v>-132.03359562191315</v>
      </c>
      <c r="N47" s="190">
        <f t="shared" si="8"/>
        <v>-1742.953595621897</v>
      </c>
      <c r="O47" s="189">
        <v>0</v>
      </c>
      <c r="P47" s="189">
        <v>0</v>
      </c>
      <c r="Q47" s="189">
        <v>0</v>
      </c>
      <c r="R47" s="190">
        <f t="shared" si="9"/>
        <v>-1742.953595621897</v>
      </c>
    </row>
    <row r="48" spans="1:18" x14ac:dyDescent="0.25">
      <c r="A48" s="146">
        <v>5</v>
      </c>
      <c r="B48" s="181">
        <f t="shared" si="13"/>
        <v>45047</v>
      </c>
      <c r="C48" s="204">
        <f t="shared" si="14"/>
        <v>45082</v>
      </c>
      <c r="D48" s="204">
        <f t="shared" si="14"/>
        <v>45103</v>
      </c>
      <c r="E48" s="191" t="s">
        <v>81</v>
      </c>
      <c r="F48" s="221">
        <v>9</v>
      </c>
      <c r="G48" s="184">
        <v>104</v>
      </c>
      <c r="H48" s="185">
        <f t="shared" si="5"/>
        <v>2687.49</v>
      </c>
      <c r="I48" s="185">
        <f t="shared" si="1"/>
        <v>2669.98</v>
      </c>
      <c r="J48" s="189">
        <f t="shared" si="15"/>
        <v>277677.92</v>
      </c>
      <c r="K48" s="193">
        <f t="shared" si="16"/>
        <v>279498.95999999996</v>
      </c>
      <c r="L48" s="192">
        <f t="shared" si="17"/>
        <v>-1821.039999999979</v>
      </c>
      <c r="M48" s="189">
        <f t="shared" si="7"/>
        <v>-149.25536896390179</v>
      </c>
      <c r="N48" s="190">
        <f t="shared" si="8"/>
        <v>-1970.2953689638807</v>
      </c>
      <c r="O48" s="189">
        <v>0</v>
      </c>
      <c r="P48" s="189">
        <v>0</v>
      </c>
      <c r="Q48" s="189">
        <v>0</v>
      </c>
      <c r="R48" s="190">
        <f t="shared" si="9"/>
        <v>-1970.2953689638807</v>
      </c>
    </row>
    <row r="49" spans="1:18" x14ac:dyDescent="0.25">
      <c r="A49" s="146">
        <v>6</v>
      </c>
      <c r="B49" s="181">
        <f t="shared" si="13"/>
        <v>45078</v>
      </c>
      <c r="C49" s="204">
        <f t="shared" si="14"/>
        <v>45112</v>
      </c>
      <c r="D49" s="204">
        <f t="shared" si="14"/>
        <v>45131</v>
      </c>
      <c r="E49" s="191" t="s">
        <v>81</v>
      </c>
      <c r="F49" s="221">
        <v>9</v>
      </c>
      <c r="G49" s="184">
        <v>156</v>
      </c>
      <c r="H49" s="185">
        <f t="shared" si="5"/>
        <v>2687.49</v>
      </c>
      <c r="I49" s="185">
        <f t="shared" si="1"/>
        <v>2669.98</v>
      </c>
      <c r="J49" s="189">
        <f t="shared" si="15"/>
        <v>416516.88</v>
      </c>
      <c r="K49" s="193">
        <f t="shared" si="16"/>
        <v>419248.43999999994</v>
      </c>
      <c r="L49" s="192">
        <f t="shared" si="17"/>
        <v>-2731.5599999999395</v>
      </c>
      <c r="M49" s="189">
        <f t="shared" si="7"/>
        <v>-223.88305344585271</v>
      </c>
      <c r="N49" s="190">
        <f t="shared" si="8"/>
        <v>-2955.443053445792</v>
      </c>
      <c r="O49" s="189">
        <v>0</v>
      </c>
      <c r="P49" s="189">
        <v>0</v>
      </c>
      <c r="Q49" s="189">
        <v>0</v>
      </c>
      <c r="R49" s="190">
        <f t="shared" si="9"/>
        <v>-2955.443053445792</v>
      </c>
    </row>
    <row r="50" spans="1:18" x14ac:dyDescent="0.25">
      <c r="A50" s="110">
        <v>7</v>
      </c>
      <c r="B50" s="181">
        <f t="shared" si="13"/>
        <v>45108</v>
      </c>
      <c r="C50" s="204">
        <f t="shared" si="14"/>
        <v>45141</v>
      </c>
      <c r="D50" s="204">
        <f t="shared" si="14"/>
        <v>45162</v>
      </c>
      <c r="E50" s="191" t="s">
        <v>81</v>
      </c>
      <c r="F50" s="221">
        <v>9</v>
      </c>
      <c r="G50" s="184">
        <v>155</v>
      </c>
      <c r="H50" s="185">
        <f t="shared" si="5"/>
        <v>2687.49</v>
      </c>
      <c r="I50" s="185">
        <f t="shared" si="1"/>
        <v>2669.98</v>
      </c>
      <c r="J50" s="189">
        <f t="shared" si="15"/>
        <v>413846.9</v>
      </c>
      <c r="K50" s="193">
        <f t="shared" si="16"/>
        <v>416560.94999999995</v>
      </c>
      <c r="L50" s="192">
        <f t="shared" si="17"/>
        <v>-2714.0499999999302</v>
      </c>
      <c r="M50" s="189">
        <f t="shared" si="7"/>
        <v>-222.44790566735364</v>
      </c>
      <c r="N50" s="190">
        <f t="shared" si="8"/>
        <v>-2936.4979056672837</v>
      </c>
      <c r="O50" s="189">
        <v>0</v>
      </c>
      <c r="P50" s="189">
        <v>0</v>
      </c>
      <c r="Q50" s="189">
        <v>0</v>
      </c>
      <c r="R50" s="190">
        <f t="shared" si="9"/>
        <v>-2936.4979056672837</v>
      </c>
    </row>
    <row r="51" spans="1:18" x14ac:dyDescent="0.25">
      <c r="A51" s="146">
        <v>8</v>
      </c>
      <c r="B51" s="181">
        <f t="shared" si="13"/>
        <v>45139</v>
      </c>
      <c r="C51" s="204">
        <f t="shared" si="14"/>
        <v>45174</v>
      </c>
      <c r="D51" s="204">
        <f t="shared" si="14"/>
        <v>45194</v>
      </c>
      <c r="E51" s="191" t="s">
        <v>81</v>
      </c>
      <c r="F51" s="221">
        <v>9</v>
      </c>
      <c r="G51" s="184">
        <v>159</v>
      </c>
      <c r="H51" s="185">
        <f t="shared" si="5"/>
        <v>2687.49</v>
      </c>
      <c r="I51" s="185">
        <f t="shared" si="1"/>
        <v>2669.98</v>
      </c>
      <c r="J51" s="189">
        <f t="shared" si="15"/>
        <v>424526.82</v>
      </c>
      <c r="K51" s="193">
        <f t="shared" si="16"/>
        <v>427310.91</v>
      </c>
      <c r="L51" s="192">
        <f t="shared" si="17"/>
        <v>-2784.0899999999674</v>
      </c>
      <c r="M51" s="189">
        <f t="shared" si="7"/>
        <v>-228.18849678134987</v>
      </c>
      <c r="N51" s="190">
        <f t="shared" si="8"/>
        <v>-3012.2784967813172</v>
      </c>
      <c r="O51" s="189">
        <v>0</v>
      </c>
      <c r="P51" s="189">
        <v>0</v>
      </c>
      <c r="Q51" s="189">
        <v>0</v>
      </c>
      <c r="R51" s="190">
        <f t="shared" si="9"/>
        <v>-3012.2784967813172</v>
      </c>
    </row>
    <row r="52" spans="1:18" x14ac:dyDescent="0.25">
      <c r="A52" s="146">
        <v>9</v>
      </c>
      <c r="B52" s="181">
        <f t="shared" si="13"/>
        <v>45170</v>
      </c>
      <c r="C52" s="204">
        <f t="shared" si="14"/>
        <v>45203</v>
      </c>
      <c r="D52" s="204">
        <f t="shared" si="14"/>
        <v>45223</v>
      </c>
      <c r="E52" s="191" t="s">
        <v>81</v>
      </c>
      <c r="F52" s="221">
        <v>9</v>
      </c>
      <c r="G52" s="184">
        <v>144</v>
      </c>
      <c r="H52" s="185">
        <f t="shared" si="5"/>
        <v>2687.49</v>
      </c>
      <c r="I52" s="185">
        <f t="shared" si="1"/>
        <v>2669.98</v>
      </c>
      <c r="J52" s="189">
        <f t="shared" si="15"/>
        <v>384477.12</v>
      </c>
      <c r="K52" s="193">
        <f t="shared" si="16"/>
        <v>386998.55999999994</v>
      </c>
      <c r="L52" s="192">
        <f t="shared" si="17"/>
        <v>-2521.4399999999441</v>
      </c>
      <c r="M52" s="189">
        <f t="shared" si="7"/>
        <v>-206.66128010386404</v>
      </c>
      <c r="N52" s="190">
        <f t="shared" si="8"/>
        <v>-2728.1012801038082</v>
      </c>
      <c r="O52" s="189">
        <v>0</v>
      </c>
      <c r="P52" s="189">
        <v>0</v>
      </c>
      <c r="Q52" s="189">
        <v>0</v>
      </c>
      <c r="R52" s="190">
        <f t="shared" si="9"/>
        <v>-2728.1012801038082</v>
      </c>
    </row>
    <row r="53" spans="1:18" x14ac:dyDescent="0.25">
      <c r="A53" s="110">
        <v>10</v>
      </c>
      <c r="B53" s="181">
        <f t="shared" si="13"/>
        <v>45200</v>
      </c>
      <c r="C53" s="204">
        <f t="shared" si="14"/>
        <v>45233</v>
      </c>
      <c r="D53" s="204">
        <f t="shared" si="14"/>
        <v>45254</v>
      </c>
      <c r="E53" s="191" t="s">
        <v>81</v>
      </c>
      <c r="F53" s="221">
        <v>9</v>
      </c>
      <c r="G53" s="184">
        <v>117</v>
      </c>
      <c r="H53" s="185">
        <f t="shared" si="5"/>
        <v>2687.49</v>
      </c>
      <c r="I53" s="185">
        <f t="shared" si="1"/>
        <v>2669.98</v>
      </c>
      <c r="J53" s="189">
        <f t="shared" si="15"/>
        <v>312387.65999999997</v>
      </c>
      <c r="K53" s="193">
        <f t="shared" si="16"/>
        <v>314436.32999999996</v>
      </c>
      <c r="L53" s="192">
        <f t="shared" si="17"/>
        <v>-2048.6699999999837</v>
      </c>
      <c r="M53" s="189">
        <f t="shared" si="7"/>
        <v>-167.91229008438955</v>
      </c>
      <c r="N53" s="190">
        <f t="shared" si="8"/>
        <v>-2216.5822900843732</v>
      </c>
      <c r="O53" s="189">
        <v>0</v>
      </c>
      <c r="P53" s="189">
        <v>0</v>
      </c>
      <c r="Q53" s="189">
        <v>0</v>
      </c>
      <c r="R53" s="190">
        <f t="shared" si="9"/>
        <v>-2216.5822900843732</v>
      </c>
    </row>
    <row r="54" spans="1:18" x14ac:dyDescent="0.25">
      <c r="A54" s="146">
        <v>11</v>
      </c>
      <c r="B54" s="181">
        <f t="shared" si="13"/>
        <v>45231</v>
      </c>
      <c r="C54" s="204">
        <f t="shared" si="14"/>
        <v>45266</v>
      </c>
      <c r="D54" s="204">
        <f t="shared" si="14"/>
        <v>45285</v>
      </c>
      <c r="E54" s="191" t="s">
        <v>81</v>
      </c>
      <c r="F54" s="221">
        <v>9</v>
      </c>
      <c r="G54" s="184">
        <v>134</v>
      </c>
      <c r="H54" s="185">
        <f t="shared" si="5"/>
        <v>2687.49</v>
      </c>
      <c r="I54" s="185">
        <f t="shared" si="1"/>
        <v>2669.98</v>
      </c>
      <c r="J54" s="189">
        <f t="shared" si="15"/>
        <v>357777.32</v>
      </c>
      <c r="K54" s="193">
        <f t="shared" si="16"/>
        <v>360123.66</v>
      </c>
      <c r="L54" s="192">
        <f t="shared" si="17"/>
        <v>-2346.3399999999674</v>
      </c>
      <c r="M54" s="189">
        <f t="shared" si="7"/>
        <v>-192.30980231887349</v>
      </c>
      <c r="N54" s="190">
        <f t="shared" si="8"/>
        <v>-2538.649802318841</v>
      </c>
      <c r="O54" s="189">
        <v>0</v>
      </c>
      <c r="P54" s="189">
        <v>0</v>
      </c>
      <c r="Q54" s="189">
        <v>0</v>
      </c>
      <c r="R54" s="190">
        <f t="shared" si="9"/>
        <v>-2538.649802318841</v>
      </c>
    </row>
    <row r="55" spans="1:18" x14ac:dyDescent="0.25">
      <c r="A55" s="146">
        <v>12</v>
      </c>
      <c r="B55" s="181">
        <f t="shared" si="13"/>
        <v>45261</v>
      </c>
      <c r="C55" s="204">
        <f t="shared" si="14"/>
        <v>45294</v>
      </c>
      <c r="D55" s="204">
        <f t="shared" si="14"/>
        <v>45315</v>
      </c>
      <c r="E55" s="191" t="s">
        <v>81</v>
      </c>
      <c r="F55" s="221">
        <v>9</v>
      </c>
      <c r="G55" s="196">
        <v>145</v>
      </c>
      <c r="H55" s="197">
        <f t="shared" si="5"/>
        <v>2687.49</v>
      </c>
      <c r="I55" s="197">
        <f t="shared" si="1"/>
        <v>2669.98</v>
      </c>
      <c r="J55" s="198">
        <f t="shared" si="15"/>
        <v>387147.1</v>
      </c>
      <c r="K55" s="199">
        <f t="shared" si="16"/>
        <v>389686.05</v>
      </c>
      <c r="L55" s="200">
        <f t="shared" si="17"/>
        <v>-2538.9500000000116</v>
      </c>
      <c r="M55" s="189">
        <f t="shared" si="7"/>
        <v>-208.09642788236312</v>
      </c>
      <c r="N55" s="190">
        <f t="shared" si="8"/>
        <v>-2747.0464278823747</v>
      </c>
      <c r="O55" s="189">
        <v>0</v>
      </c>
      <c r="P55" s="189">
        <v>0</v>
      </c>
      <c r="Q55" s="189">
        <v>0</v>
      </c>
      <c r="R55" s="190">
        <f t="shared" si="9"/>
        <v>-2747.0464278823747</v>
      </c>
    </row>
    <row r="56" spans="1:18" s="205" customFormat="1" x14ac:dyDescent="0.25">
      <c r="A56" s="110">
        <v>1</v>
      </c>
      <c r="B56" s="201">
        <f t="shared" si="4"/>
        <v>44927</v>
      </c>
      <c r="C56" s="202">
        <f t="shared" ref="C56:D67" si="18">+C32</f>
        <v>44960</v>
      </c>
      <c r="D56" s="202">
        <f t="shared" si="18"/>
        <v>44981</v>
      </c>
      <c r="E56" s="203" t="s">
        <v>14</v>
      </c>
      <c r="F56" s="222">
        <v>9</v>
      </c>
      <c r="G56" s="184">
        <v>828</v>
      </c>
      <c r="H56" s="185">
        <f t="shared" si="5"/>
        <v>2687.49</v>
      </c>
      <c r="I56" s="185">
        <f t="shared" si="1"/>
        <v>2669.98</v>
      </c>
      <c r="J56" s="186">
        <f t="shared" si="2"/>
        <v>2210743.44</v>
      </c>
      <c r="K56" s="187">
        <f t="shared" si="11"/>
        <v>2225241.7199999997</v>
      </c>
      <c r="L56" s="188">
        <f t="shared" si="12"/>
        <v>-14498.279999999795</v>
      </c>
      <c r="M56" s="189">
        <f t="shared" si="7"/>
        <v>-1188.3023605972182</v>
      </c>
      <c r="N56" s="190">
        <f t="shared" si="8"/>
        <v>-15686.582360597013</v>
      </c>
      <c r="O56" s="189">
        <v>0</v>
      </c>
      <c r="P56" s="189">
        <v>0</v>
      </c>
      <c r="Q56" s="189">
        <v>0</v>
      </c>
      <c r="R56" s="190">
        <f t="shared" si="9"/>
        <v>-15686.582360597013</v>
      </c>
    </row>
    <row r="57" spans="1:18" x14ac:dyDescent="0.25">
      <c r="A57" s="146">
        <v>2</v>
      </c>
      <c r="B57" s="181">
        <f t="shared" si="4"/>
        <v>44958</v>
      </c>
      <c r="C57" s="204">
        <f t="shared" si="18"/>
        <v>44988</v>
      </c>
      <c r="D57" s="204">
        <f t="shared" si="18"/>
        <v>45009</v>
      </c>
      <c r="E57" s="191" t="s">
        <v>14</v>
      </c>
      <c r="F57" s="221">
        <v>9</v>
      </c>
      <c r="G57" s="184">
        <v>786</v>
      </c>
      <c r="H57" s="185">
        <f t="shared" si="5"/>
        <v>2687.49</v>
      </c>
      <c r="I57" s="185">
        <f t="shared" si="1"/>
        <v>2669.98</v>
      </c>
      <c r="J57" s="186">
        <f t="shared" si="2"/>
        <v>2098604.2799999998</v>
      </c>
      <c r="K57" s="187">
        <f t="shared" si="11"/>
        <v>2112367.1399999997</v>
      </c>
      <c r="L57" s="188">
        <f t="shared" si="12"/>
        <v>-13762.85999999987</v>
      </c>
      <c r="M57" s="189">
        <f t="shared" si="7"/>
        <v>-1128.0261539002579</v>
      </c>
      <c r="N57" s="190">
        <f t="shared" si="8"/>
        <v>-14890.886153900128</v>
      </c>
      <c r="O57" s="189">
        <v>0</v>
      </c>
      <c r="P57" s="189">
        <v>0</v>
      </c>
      <c r="Q57" s="189">
        <v>0</v>
      </c>
      <c r="R57" s="190">
        <f t="shared" si="9"/>
        <v>-14890.886153900128</v>
      </c>
    </row>
    <row r="58" spans="1:18" x14ac:dyDescent="0.25">
      <c r="A58" s="146">
        <v>3</v>
      </c>
      <c r="B58" s="181">
        <f t="shared" si="4"/>
        <v>44986</v>
      </c>
      <c r="C58" s="204">
        <f t="shared" si="18"/>
        <v>45021</v>
      </c>
      <c r="D58" s="204">
        <f t="shared" si="18"/>
        <v>45040</v>
      </c>
      <c r="E58" s="191" t="s">
        <v>14</v>
      </c>
      <c r="F58" s="221">
        <v>9</v>
      </c>
      <c r="G58" s="184">
        <v>702</v>
      </c>
      <c r="H58" s="185">
        <f t="shared" si="5"/>
        <v>2687.49</v>
      </c>
      <c r="I58" s="185">
        <f t="shared" si="1"/>
        <v>2669.98</v>
      </c>
      <c r="J58" s="186">
        <f t="shared" si="2"/>
        <v>1874325.96</v>
      </c>
      <c r="K58" s="187">
        <f t="shared" si="11"/>
        <v>1886617.9799999997</v>
      </c>
      <c r="L58" s="188">
        <f>+J58-K58</f>
        <v>-12292.019999999786</v>
      </c>
      <c r="M58" s="189">
        <f t="shared" si="7"/>
        <v>-1007.4737405063372</v>
      </c>
      <c r="N58" s="190">
        <f t="shared" si="8"/>
        <v>-13299.493740506123</v>
      </c>
      <c r="O58" s="189">
        <v>0</v>
      </c>
      <c r="P58" s="189">
        <v>0</v>
      </c>
      <c r="Q58" s="189">
        <v>0</v>
      </c>
      <c r="R58" s="190">
        <f t="shared" si="9"/>
        <v>-13299.493740506123</v>
      </c>
    </row>
    <row r="59" spans="1:18" x14ac:dyDescent="0.25">
      <c r="A59" s="110">
        <v>4</v>
      </c>
      <c r="B59" s="181">
        <f t="shared" si="4"/>
        <v>45017</v>
      </c>
      <c r="C59" s="204">
        <f t="shared" si="18"/>
        <v>45049</v>
      </c>
      <c r="D59" s="204">
        <f t="shared" si="18"/>
        <v>45070</v>
      </c>
      <c r="E59" s="191" t="s">
        <v>14</v>
      </c>
      <c r="F59" s="221">
        <v>9</v>
      </c>
      <c r="G59" s="184">
        <v>519</v>
      </c>
      <c r="H59" s="185">
        <f t="shared" si="5"/>
        <v>2687.49</v>
      </c>
      <c r="I59" s="185">
        <f t="shared" si="1"/>
        <v>2669.98</v>
      </c>
      <c r="J59" s="186">
        <f t="shared" si="2"/>
        <v>1385719.62</v>
      </c>
      <c r="K59" s="187">
        <f t="shared" si="11"/>
        <v>1394807.3099999998</v>
      </c>
      <c r="L59" s="188">
        <f t="shared" ref="L59:L81" si="19">+J59-K59</f>
        <v>-9087.6899999997113</v>
      </c>
      <c r="M59" s="189">
        <f t="shared" si="7"/>
        <v>-744.84169704100998</v>
      </c>
      <c r="N59" s="190">
        <f t="shared" si="8"/>
        <v>-9832.5316970407221</v>
      </c>
      <c r="O59" s="189">
        <v>0</v>
      </c>
      <c r="P59" s="189">
        <v>0</v>
      </c>
      <c r="Q59" s="189">
        <v>0</v>
      </c>
      <c r="R59" s="190">
        <f t="shared" si="9"/>
        <v>-9832.5316970407221</v>
      </c>
    </row>
    <row r="60" spans="1:18" x14ac:dyDescent="0.25">
      <c r="A60" s="146">
        <v>5</v>
      </c>
      <c r="B60" s="181">
        <f t="shared" si="4"/>
        <v>45047</v>
      </c>
      <c r="C60" s="204">
        <f t="shared" si="18"/>
        <v>45082</v>
      </c>
      <c r="D60" s="204">
        <f t="shared" si="18"/>
        <v>45103</v>
      </c>
      <c r="E60" s="52" t="s">
        <v>14</v>
      </c>
      <c r="F60" s="221">
        <v>9</v>
      </c>
      <c r="G60" s="184">
        <v>720</v>
      </c>
      <c r="H60" s="185">
        <f t="shared" si="5"/>
        <v>2687.49</v>
      </c>
      <c r="I60" s="185">
        <f t="shared" si="1"/>
        <v>2669.98</v>
      </c>
      <c r="J60" s="186">
        <f t="shared" si="2"/>
        <v>1922385.6</v>
      </c>
      <c r="K60" s="187">
        <f t="shared" si="11"/>
        <v>1934992.7999999998</v>
      </c>
      <c r="L60" s="188">
        <f t="shared" si="19"/>
        <v>-12607.199999999721</v>
      </c>
      <c r="M60" s="189">
        <f t="shared" si="7"/>
        <v>-1033.3064005193203</v>
      </c>
      <c r="N60" s="190">
        <f t="shared" si="8"/>
        <v>-13640.506400519042</v>
      </c>
      <c r="O60" s="189">
        <v>0</v>
      </c>
      <c r="P60" s="189">
        <v>0</v>
      </c>
      <c r="Q60" s="189">
        <v>0</v>
      </c>
      <c r="R60" s="190">
        <f t="shared" si="9"/>
        <v>-13640.506400519042</v>
      </c>
    </row>
    <row r="61" spans="1:18" x14ac:dyDescent="0.25">
      <c r="A61" s="146">
        <v>6</v>
      </c>
      <c r="B61" s="181">
        <f t="shared" si="4"/>
        <v>45078</v>
      </c>
      <c r="C61" s="204">
        <f t="shared" si="18"/>
        <v>45112</v>
      </c>
      <c r="D61" s="204">
        <f t="shared" si="18"/>
        <v>45131</v>
      </c>
      <c r="E61" s="52" t="s">
        <v>14</v>
      </c>
      <c r="F61" s="221">
        <v>9</v>
      </c>
      <c r="G61" s="184">
        <v>975</v>
      </c>
      <c r="H61" s="185">
        <f t="shared" si="5"/>
        <v>2687.49</v>
      </c>
      <c r="I61" s="185">
        <f t="shared" si="1"/>
        <v>2669.98</v>
      </c>
      <c r="J61" s="186">
        <f t="shared" si="2"/>
        <v>2603230.5</v>
      </c>
      <c r="K61" s="187">
        <f t="shared" si="11"/>
        <v>2620302.75</v>
      </c>
      <c r="L61" s="192">
        <f t="shared" si="19"/>
        <v>-17072.25</v>
      </c>
      <c r="M61" s="189">
        <f t="shared" si="7"/>
        <v>-1399.2690840365794</v>
      </c>
      <c r="N61" s="190">
        <f t="shared" si="8"/>
        <v>-18471.519084036579</v>
      </c>
      <c r="O61" s="189">
        <v>0</v>
      </c>
      <c r="P61" s="189">
        <v>0</v>
      </c>
      <c r="Q61" s="189">
        <v>0</v>
      </c>
      <c r="R61" s="190">
        <f t="shared" si="9"/>
        <v>-18471.519084036579</v>
      </c>
    </row>
    <row r="62" spans="1:18" x14ac:dyDescent="0.25">
      <c r="A62" s="110">
        <v>7</v>
      </c>
      <c r="B62" s="181">
        <f t="shared" si="4"/>
        <v>45108</v>
      </c>
      <c r="C62" s="204">
        <f t="shared" si="18"/>
        <v>45141</v>
      </c>
      <c r="D62" s="204">
        <f t="shared" si="18"/>
        <v>45162</v>
      </c>
      <c r="E62" s="52" t="s">
        <v>14</v>
      </c>
      <c r="F62" s="221">
        <v>9</v>
      </c>
      <c r="G62" s="184">
        <v>924</v>
      </c>
      <c r="H62" s="185">
        <f t="shared" si="5"/>
        <v>2687.49</v>
      </c>
      <c r="I62" s="185">
        <f t="shared" si="1"/>
        <v>2669.98</v>
      </c>
      <c r="J62" s="186">
        <f t="shared" si="2"/>
        <v>2467061.52</v>
      </c>
      <c r="K62" s="193">
        <f t="shared" si="11"/>
        <v>2483240.7599999998</v>
      </c>
      <c r="L62" s="192">
        <f t="shared" si="19"/>
        <v>-16179.239999999758</v>
      </c>
      <c r="M62" s="189">
        <f t="shared" si="7"/>
        <v>-1326.0765473331276</v>
      </c>
      <c r="N62" s="190">
        <f t="shared" si="8"/>
        <v>-17505.316547332885</v>
      </c>
      <c r="O62" s="189">
        <v>0</v>
      </c>
      <c r="P62" s="189">
        <v>0</v>
      </c>
      <c r="Q62" s="189">
        <v>0</v>
      </c>
      <c r="R62" s="190">
        <f t="shared" si="9"/>
        <v>-17505.316547332885</v>
      </c>
    </row>
    <row r="63" spans="1:18" x14ac:dyDescent="0.25">
      <c r="A63" s="146">
        <v>8</v>
      </c>
      <c r="B63" s="181">
        <f t="shared" si="4"/>
        <v>45139</v>
      </c>
      <c r="C63" s="204">
        <f t="shared" si="18"/>
        <v>45174</v>
      </c>
      <c r="D63" s="204">
        <f t="shared" si="18"/>
        <v>45194</v>
      </c>
      <c r="E63" s="52" t="s">
        <v>14</v>
      </c>
      <c r="F63" s="221">
        <v>9</v>
      </c>
      <c r="G63" s="184">
        <v>1053</v>
      </c>
      <c r="H63" s="185">
        <f t="shared" si="5"/>
        <v>2687.49</v>
      </c>
      <c r="I63" s="185">
        <f t="shared" si="1"/>
        <v>2669.98</v>
      </c>
      <c r="J63" s="186">
        <f t="shared" si="2"/>
        <v>2811488.94</v>
      </c>
      <c r="K63" s="193">
        <f t="shared" si="11"/>
        <v>2829926.9699999997</v>
      </c>
      <c r="L63" s="192">
        <f t="shared" si="19"/>
        <v>-18438.029999999795</v>
      </c>
      <c r="M63" s="189">
        <f t="shared" si="7"/>
        <v>-1511.2106107595059</v>
      </c>
      <c r="N63" s="190">
        <f t="shared" si="8"/>
        <v>-19949.240610759301</v>
      </c>
      <c r="O63" s="189">
        <v>0</v>
      </c>
      <c r="P63" s="189">
        <v>0</v>
      </c>
      <c r="Q63" s="189">
        <v>0</v>
      </c>
      <c r="R63" s="190">
        <f t="shared" si="9"/>
        <v>-19949.240610759301</v>
      </c>
    </row>
    <row r="64" spans="1:18" x14ac:dyDescent="0.25">
      <c r="A64" s="146">
        <v>9</v>
      </c>
      <c r="B64" s="181">
        <f t="shared" si="4"/>
        <v>45170</v>
      </c>
      <c r="C64" s="204">
        <f t="shared" si="18"/>
        <v>45203</v>
      </c>
      <c r="D64" s="204">
        <f t="shared" si="18"/>
        <v>45223</v>
      </c>
      <c r="E64" s="52" t="s">
        <v>14</v>
      </c>
      <c r="F64" s="221">
        <v>9</v>
      </c>
      <c r="G64" s="184">
        <v>905</v>
      </c>
      <c r="H64" s="185">
        <f t="shared" si="5"/>
        <v>2687.49</v>
      </c>
      <c r="I64" s="185">
        <f t="shared" ref="I64:I107" si="20">$J$3</f>
        <v>2669.98</v>
      </c>
      <c r="J64" s="186">
        <f t="shared" si="2"/>
        <v>2416331.9</v>
      </c>
      <c r="K64" s="193">
        <f t="shared" si="11"/>
        <v>2432178.4499999997</v>
      </c>
      <c r="L64" s="192">
        <f t="shared" si="19"/>
        <v>-15846.549999999814</v>
      </c>
      <c r="M64" s="189">
        <f t="shared" si="7"/>
        <v>-1298.8087395416455</v>
      </c>
      <c r="N64" s="190">
        <f t="shared" si="8"/>
        <v>-17145.358739541458</v>
      </c>
      <c r="O64" s="189">
        <v>0</v>
      </c>
      <c r="P64" s="189">
        <v>0</v>
      </c>
      <c r="Q64" s="189">
        <v>0</v>
      </c>
      <c r="R64" s="190">
        <f t="shared" si="9"/>
        <v>-17145.358739541458</v>
      </c>
    </row>
    <row r="65" spans="1:18" x14ac:dyDescent="0.25">
      <c r="A65" s="110">
        <v>10</v>
      </c>
      <c r="B65" s="181">
        <f t="shared" si="4"/>
        <v>45200</v>
      </c>
      <c r="C65" s="204">
        <f t="shared" si="18"/>
        <v>45233</v>
      </c>
      <c r="D65" s="204">
        <f t="shared" si="18"/>
        <v>45254</v>
      </c>
      <c r="E65" s="52" t="s">
        <v>14</v>
      </c>
      <c r="F65" s="221">
        <v>9</v>
      </c>
      <c r="G65" s="184">
        <v>694</v>
      </c>
      <c r="H65" s="185">
        <f t="shared" si="5"/>
        <v>2687.49</v>
      </c>
      <c r="I65" s="185">
        <f t="shared" si="20"/>
        <v>2669.98</v>
      </c>
      <c r="J65" s="186">
        <f t="shared" si="2"/>
        <v>1852966.12</v>
      </c>
      <c r="K65" s="193">
        <f t="shared" si="11"/>
        <v>1865118.0599999998</v>
      </c>
      <c r="L65" s="192">
        <f t="shared" si="19"/>
        <v>-12151.939999999711</v>
      </c>
      <c r="M65" s="189">
        <f t="shared" si="7"/>
        <v>-995.99255827834475</v>
      </c>
      <c r="N65" s="190">
        <f t="shared" si="8"/>
        <v>-13147.932558278057</v>
      </c>
      <c r="O65" s="189">
        <v>0</v>
      </c>
      <c r="P65" s="189">
        <v>0</v>
      </c>
      <c r="Q65" s="189">
        <v>0</v>
      </c>
      <c r="R65" s="190">
        <f t="shared" si="9"/>
        <v>-13147.932558278057</v>
      </c>
    </row>
    <row r="66" spans="1:18" x14ac:dyDescent="0.25">
      <c r="A66" s="146">
        <v>11</v>
      </c>
      <c r="B66" s="181">
        <f t="shared" si="4"/>
        <v>45231</v>
      </c>
      <c r="C66" s="204">
        <f t="shared" si="18"/>
        <v>45266</v>
      </c>
      <c r="D66" s="204">
        <f t="shared" si="18"/>
        <v>45285</v>
      </c>
      <c r="E66" s="52" t="s">
        <v>14</v>
      </c>
      <c r="F66" s="221">
        <v>9</v>
      </c>
      <c r="G66" s="184">
        <v>736</v>
      </c>
      <c r="H66" s="185">
        <f t="shared" si="5"/>
        <v>2687.49</v>
      </c>
      <c r="I66" s="185">
        <f t="shared" si="20"/>
        <v>2669.98</v>
      </c>
      <c r="J66" s="186">
        <f t="shared" si="2"/>
        <v>1965105.28</v>
      </c>
      <c r="K66" s="193">
        <f t="shared" si="11"/>
        <v>1977992.64</v>
      </c>
      <c r="L66" s="192">
        <f t="shared" si="19"/>
        <v>-12887.35999999987</v>
      </c>
      <c r="M66" s="189">
        <f t="shared" si="7"/>
        <v>-1056.2687649753052</v>
      </c>
      <c r="N66" s="190">
        <f t="shared" si="8"/>
        <v>-13943.628764975176</v>
      </c>
      <c r="O66" s="189">
        <v>0</v>
      </c>
      <c r="P66" s="189">
        <v>0</v>
      </c>
      <c r="Q66" s="189">
        <v>0</v>
      </c>
      <c r="R66" s="190">
        <f t="shared" si="9"/>
        <v>-13943.628764975176</v>
      </c>
    </row>
    <row r="67" spans="1:18" s="208" customFormat="1" x14ac:dyDescent="0.25">
      <c r="A67" s="146">
        <v>12</v>
      </c>
      <c r="B67" s="206">
        <f t="shared" si="4"/>
        <v>45261</v>
      </c>
      <c r="C67" s="204">
        <f t="shared" si="18"/>
        <v>45294</v>
      </c>
      <c r="D67" s="204">
        <f t="shared" si="18"/>
        <v>45315</v>
      </c>
      <c r="E67" s="207" t="s">
        <v>14</v>
      </c>
      <c r="F67" s="223">
        <v>9</v>
      </c>
      <c r="G67" s="196">
        <v>713</v>
      </c>
      <c r="H67" s="197">
        <f t="shared" si="5"/>
        <v>2687.49</v>
      </c>
      <c r="I67" s="197">
        <f t="shared" si="20"/>
        <v>2669.98</v>
      </c>
      <c r="J67" s="198">
        <f t="shared" si="2"/>
        <v>1903695.74</v>
      </c>
      <c r="K67" s="199">
        <f t="shared" si="11"/>
        <v>1916180.3699999999</v>
      </c>
      <c r="L67" s="200">
        <f t="shared" si="19"/>
        <v>-12484.629999999888</v>
      </c>
      <c r="M67" s="189">
        <f t="shared" si="7"/>
        <v>-1023.2603660698268</v>
      </c>
      <c r="N67" s="190">
        <f t="shared" si="8"/>
        <v>-13507.890366069714</v>
      </c>
      <c r="O67" s="189">
        <v>0</v>
      </c>
      <c r="P67" s="189">
        <v>0</v>
      </c>
      <c r="Q67" s="189">
        <v>0</v>
      </c>
      <c r="R67" s="190">
        <f t="shared" si="9"/>
        <v>-13507.890366069714</v>
      </c>
    </row>
    <row r="68" spans="1:18" x14ac:dyDescent="0.25">
      <c r="A68" s="110">
        <v>1</v>
      </c>
      <c r="B68" s="181">
        <f t="shared" si="4"/>
        <v>44927</v>
      </c>
      <c r="C68" s="202">
        <f t="shared" ref="C68:D79" si="21">+C56</f>
        <v>44960</v>
      </c>
      <c r="D68" s="202">
        <f t="shared" si="21"/>
        <v>44981</v>
      </c>
      <c r="E68" s="183" t="s">
        <v>83</v>
      </c>
      <c r="F68" s="133">
        <v>9</v>
      </c>
      <c r="G68" s="184">
        <v>44</v>
      </c>
      <c r="H68" s="185">
        <f t="shared" si="5"/>
        <v>2687.49</v>
      </c>
      <c r="I68" s="185">
        <f t="shared" si="20"/>
        <v>2669.98</v>
      </c>
      <c r="J68" s="186">
        <f t="shared" si="2"/>
        <v>117479.12</v>
      </c>
      <c r="K68" s="187">
        <f t="shared" si="11"/>
        <v>118249.56</v>
      </c>
      <c r="L68" s="188">
        <f t="shared" si="19"/>
        <v>-770.44000000000233</v>
      </c>
      <c r="M68" s="189">
        <f t="shared" si="7"/>
        <v>-63.14650225395846</v>
      </c>
      <c r="N68" s="190">
        <f t="shared" si="8"/>
        <v>-833.58650225396082</v>
      </c>
      <c r="O68" s="189">
        <v>0</v>
      </c>
      <c r="P68" s="189">
        <v>0</v>
      </c>
      <c r="Q68" s="189">
        <v>0</v>
      </c>
      <c r="R68" s="190">
        <f t="shared" si="9"/>
        <v>-833.58650225396082</v>
      </c>
    </row>
    <row r="69" spans="1:18" x14ac:dyDescent="0.25">
      <c r="A69" s="146">
        <v>2</v>
      </c>
      <c r="B69" s="181">
        <f t="shared" si="4"/>
        <v>44958</v>
      </c>
      <c r="C69" s="204">
        <f t="shared" si="21"/>
        <v>44988</v>
      </c>
      <c r="D69" s="204">
        <f t="shared" si="21"/>
        <v>45009</v>
      </c>
      <c r="E69" s="191" t="s">
        <v>83</v>
      </c>
      <c r="F69" s="221">
        <v>9</v>
      </c>
      <c r="G69" s="184">
        <v>42</v>
      </c>
      <c r="H69" s="185">
        <f t="shared" si="5"/>
        <v>2687.49</v>
      </c>
      <c r="I69" s="185">
        <f t="shared" si="20"/>
        <v>2669.98</v>
      </c>
      <c r="J69" s="186">
        <f t="shared" si="2"/>
        <v>112139.16</v>
      </c>
      <c r="K69" s="187">
        <f t="shared" si="11"/>
        <v>112874.57999999999</v>
      </c>
      <c r="L69" s="188">
        <f t="shared" si="19"/>
        <v>-735.4199999999837</v>
      </c>
      <c r="M69" s="189">
        <f t="shared" si="7"/>
        <v>-60.276206696960344</v>
      </c>
      <c r="N69" s="190">
        <f t="shared" si="8"/>
        <v>-795.69620669694405</v>
      </c>
      <c r="O69" s="189">
        <v>0</v>
      </c>
      <c r="P69" s="189">
        <v>0</v>
      </c>
      <c r="Q69" s="189">
        <v>0</v>
      </c>
      <c r="R69" s="190">
        <f t="shared" si="9"/>
        <v>-795.69620669694405</v>
      </c>
    </row>
    <row r="70" spans="1:18" x14ac:dyDescent="0.25">
      <c r="A70" s="146">
        <v>3</v>
      </c>
      <c r="B70" s="181">
        <f t="shared" si="4"/>
        <v>44986</v>
      </c>
      <c r="C70" s="204">
        <f t="shared" si="21"/>
        <v>45021</v>
      </c>
      <c r="D70" s="204">
        <f t="shared" si="21"/>
        <v>45040</v>
      </c>
      <c r="E70" s="191" t="s">
        <v>83</v>
      </c>
      <c r="F70" s="221">
        <v>9</v>
      </c>
      <c r="G70" s="184">
        <v>37</v>
      </c>
      <c r="H70" s="185">
        <f t="shared" si="5"/>
        <v>2687.49</v>
      </c>
      <c r="I70" s="185">
        <f t="shared" si="20"/>
        <v>2669.98</v>
      </c>
      <c r="J70" s="186">
        <f t="shared" si="2"/>
        <v>98789.26</v>
      </c>
      <c r="K70" s="187">
        <f t="shared" si="11"/>
        <v>99437.12999999999</v>
      </c>
      <c r="L70" s="188">
        <f>+J70-K70</f>
        <v>-647.86999999999534</v>
      </c>
      <c r="M70" s="189">
        <f t="shared" si="7"/>
        <v>-53.100467804465062</v>
      </c>
      <c r="N70" s="190">
        <f t="shared" si="8"/>
        <v>-700.97046780446044</v>
      </c>
      <c r="O70" s="189">
        <v>0</v>
      </c>
      <c r="P70" s="189">
        <v>0</v>
      </c>
      <c r="Q70" s="189">
        <v>0</v>
      </c>
      <c r="R70" s="190">
        <f t="shared" si="9"/>
        <v>-700.97046780446044</v>
      </c>
    </row>
    <row r="71" spans="1:18" x14ac:dyDescent="0.25">
      <c r="A71" s="110">
        <v>4</v>
      </c>
      <c r="B71" s="181">
        <f t="shared" si="4"/>
        <v>45017</v>
      </c>
      <c r="C71" s="204">
        <f t="shared" si="21"/>
        <v>45049</v>
      </c>
      <c r="D71" s="204">
        <f t="shared" si="21"/>
        <v>45070</v>
      </c>
      <c r="E71" s="191" t="s">
        <v>83</v>
      </c>
      <c r="F71" s="221">
        <v>9</v>
      </c>
      <c r="G71" s="184">
        <v>27</v>
      </c>
      <c r="H71" s="185">
        <f t="shared" si="5"/>
        <v>2687.49</v>
      </c>
      <c r="I71" s="185">
        <f t="shared" si="20"/>
        <v>2669.98</v>
      </c>
      <c r="J71" s="186">
        <f t="shared" si="2"/>
        <v>72089.460000000006</v>
      </c>
      <c r="K71" s="187">
        <f t="shared" si="11"/>
        <v>72562.23</v>
      </c>
      <c r="L71" s="188">
        <f t="shared" ref="L71:L79" si="22">+J71-K71</f>
        <v>-472.76999999998952</v>
      </c>
      <c r="M71" s="189">
        <f t="shared" si="7"/>
        <v>-38.748990019474512</v>
      </c>
      <c r="N71" s="190">
        <f t="shared" si="8"/>
        <v>-511.51899001946401</v>
      </c>
      <c r="O71" s="189">
        <v>0</v>
      </c>
      <c r="P71" s="189">
        <v>0</v>
      </c>
      <c r="Q71" s="189">
        <v>0</v>
      </c>
      <c r="R71" s="190">
        <f t="shared" si="9"/>
        <v>-511.51899001946401</v>
      </c>
    </row>
    <row r="72" spans="1:18" x14ac:dyDescent="0.25">
      <c r="A72" s="146">
        <v>5</v>
      </c>
      <c r="B72" s="181">
        <f t="shared" si="4"/>
        <v>45047</v>
      </c>
      <c r="C72" s="204">
        <f t="shared" si="21"/>
        <v>45082</v>
      </c>
      <c r="D72" s="204">
        <f t="shared" si="21"/>
        <v>45103</v>
      </c>
      <c r="E72" s="191" t="s">
        <v>83</v>
      </c>
      <c r="F72" s="221">
        <v>9</v>
      </c>
      <c r="G72" s="184">
        <v>42</v>
      </c>
      <c r="H72" s="185">
        <f t="shared" si="5"/>
        <v>2687.49</v>
      </c>
      <c r="I72" s="185">
        <f t="shared" si="20"/>
        <v>2669.98</v>
      </c>
      <c r="J72" s="186">
        <f t="shared" si="2"/>
        <v>112139.16</v>
      </c>
      <c r="K72" s="187">
        <f t="shared" si="11"/>
        <v>112874.57999999999</v>
      </c>
      <c r="L72" s="188">
        <f t="shared" si="22"/>
        <v>-735.4199999999837</v>
      </c>
      <c r="M72" s="189">
        <f t="shared" si="7"/>
        <v>-60.276206696960344</v>
      </c>
      <c r="N72" s="190">
        <f t="shared" si="8"/>
        <v>-795.69620669694405</v>
      </c>
      <c r="O72" s="189">
        <v>0</v>
      </c>
      <c r="P72" s="189">
        <v>0</v>
      </c>
      <c r="Q72" s="189">
        <v>0</v>
      </c>
      <c r="R72" s="190">
        <f t="shared" si="9"/>
        <v>-795.69620669694405</v>
      </c>
    </row>
    <row r="73" spans="1:18" x14ac:dyDescent="0.25">
      <c r="A73" s="146">
        <v>6</v>
      </c>
      <c r="B73" s="181">
        <f t="shared" si="4"/>
        <v>45078</v>
      </c>
      <c r="C73" s="204">
        <f t="shared" si="21"/>
        <v>45112</v>
      </c>
      <c r="D73" s="204">
        <f t="shared" si="21"/>
        <v>45131</v>
      </c>
      <c r="E73" s="191" t="s">
        <v>83</v>
      </c>
      <c r="F73" s="221">
        <v>9</v>
      </c>
      <c r="G73" s="184">
        <v>56</v>
      </c>
      <c r="H73" s="185">
        <f t="shared" si="5"/>
        <v>2687.49</v>
      </c>
      <c r="I73" s="185">
        <f t="shared" si="20"/>
        <v>2669.98</v>
      </c>
      <c r="J73" s="186">
        <f t="shared" si="2"/>
        <v>149518.88</v>
      </c>
      <c r="K73" s="187">
        <f t="shared" si="11"/>
        <v>150499.44</v>
      </c>
      <c r="L73" s="192">
        <f t="shared" si="22"/>
        <v>-980.55999999999767</v>
      </c>
      <c r="M73" s="189">
        <f t="shared" si="7"/>
        <v>-80.368275595947125</v>
      </c>
      <c r="N73" s="190">
        <f t="shared" si="8"/>
        <v>-1060.9282755959448</v>
      </c>
      <c r="O73" s="189">
        <v>0</v>
      </c>
      <c r="P73" s="189">
        <v>0</v>
      </c>
      <c r="Q73" s="189">
        <v>0</v>
      </c>
      <c r="R73" s="190">
        <f t="shared" si="9"/>
        <v>-1060.9282755959448</v>
      </c>
    </row>
    <row r="74" spans="1:18" x14ac:dyDescent="0.25">
      <c r="A74" s="110">
        <v>7</v>
      </c>
      <c r="B74" s="181">
        <f t="shared" si="4"/>
        <v>45108</v>
      </c>
      <c r="C74" s="204">
        <f t="shared" si="21"/>
        <v>45141</v>
      </c>
      <c r="D74" s="204">
        <f t="shared" si="21"/>
        <v>45162</v>
      </c>
      <c r="E74" s="191" t="s">
        <v>83</v>
      </c>
      <c r="F74" s="221">
        <v>9</v>
      </c>
      <c r="G74" s="184">
        <v>54</v>
      </c>
      <c r="H74" s="185">
        <f t="shared" si="5"/>
        <v>2687.49</v>
      </c>
      <c r="I74" s="185">
        <f t="shared" si="20"/>
        <v>2669.98</v>
      </c>
      <c r="J74" s="186">
        <f t="shared" si="2"/>
        <v>144178.92000000001</v>
      </c>
      <c r="K74" s="193">
        <f t="shared" si="11"/>
        <v>145124.46</v>
      </c>
      <c r="L74" s="192">
        <f t="shared" si="22"/>
        <v>-945.53999999997905</v>
      </c>
      <c r="M74" s="189">
        <f t="shared" si="7"/>
        <v>-77.497980038949024</v>
      </c>
      <c r="N74" s="190">
        <f t="shared" si="8"/>
        <v>-1023.037980038928</v>
      </c>
      <c r="O74" s="189">
        <v>0</v>
      </c>
      <c r="P74" s="189">
        <v>0</v>
      </c>
      <c r="Q74" s="189">
        <v>0</v>
      </c>
      <c r="R74" s="190">
        <f t="shared" si="9"/>
        <v>-1023.037980038928</v>
      </c>
    </row>
    <row r="75" spans="1:18" x14ac:dyDescent="0.25">
      <c r="A75" s="146">
        <v>8</v>
      </c>
      <c r="B75" s="181">
        <f t="shared" si="4"/>
        <v>45139</v>
      </c>
      <c r="C75" s="204">
        <f t="shared" si="21"/>
        <v>45174</v>
      </c>
      <c r="D75" s="204">
        <f t="shared" si="21"/>
        <v>45194</v>
      </c>
      <c r="E75" s="191" t="s">
        <v>83</v>
      </c>
      <c r="F75" s="221">
        <v>9</v>
      </c>
      <c r="G75" s="184">
        <v>59</v>
      </c>
      <c r="H75" s="185">
        <f t="shared" si="5"/>
        <v>2687.49</v>
      </c>
      <c r="I75" s="185">
        <f t="shared" si="20"/>
        <v>2669.98</v>
      </c>
      <c r="J75" s="186">
        <f t="shared" si="2"/>
        <v>157528.82</v>
      </c>
      <c r="K75" s="193">
        <f t="shared" si="11"/>
        <v>158561.90999999997</v>
      </c>
      <c r="L75" s="192">
        <f t="shared" si="22"/>
        <v>-1033.0899999999674</v>
      </c>
      <c r="M75" s="189">
        <f t="shared" si="7"/>
        <v>-84.673718931444299</v>
      </c>
      <c r="N75" s="190">
        <f t="shared" si="8"/>
        <v>-1117.7637189314116</v>
      </c>
      <c r="O75" s="189">
        <v>0</v>
      </c>
      <c r="P75" s="189">
        <v>0</v>
      </c>
      <c r="Q75" s="189">
        <v>0</v>
      </c>
      <c r="R75" s="190">
        <f t="shared" si="9"/>
        <v>-1117.7637189314116</v>
      </c>
    </row>
    <row r="76" spans="1:18" x14ac:dyDescent="0.25">
      <c r="A76" s="146">
        <v>9</v>
      </c>
      <c r="B76" s="181">
        <f t="shared" si="4"/>
        <v>45170</v>
      </c>
      <c r="C76" s="204">
        <f t="shared" si="21"/>
        <v>45203</v>
      </c>
      <c r="D76" s="204">
        <f t="shared" si="21"/>
        <v>45223</v>
      </c>
      <c r="E76" s="191" t="s">
        <v>83</v>
      </c>
      <c r="F76" s="221">
        <v>9</v>
      </c>
      <c r="G76" s="184">
        <v>54</v>
      </c>
      <c r="H76" s="185">
        <f t="shared" si="5"/>
        <v>2687.49</v>
      </c>
      <c r="I76" s="185">
        <f t="shared" si="20"/>
        <v>2669.98</v>
      </c>
      <c r="J76" s="186">
        <f t="shared" si="2"/>
        <v>144178.92000000001</v>
      </c>
      <c r="K76" s="193">
        <f t="shared" si="11"/>
        <v>145124.46</v>
      </c>
      <c r="L76" s="192">
        <f t="shared" si="22"/>
        <v>-945.53999999997905</v>
      </c>
      <c r="M76" s="189">
        <f t="shared" si="7"/>
        <v>-77.497980038949024</v>
      </c>
      <c r="N76" s="190">
        <f t="shared" si="8"/>
        <v>-1023.037980038928</v>
      </c>
      <c r="O76" s="189">
        <v>0</v>
      </c>
      <c r="P76" s="189">
        <v>0</v>
      </c>
      <c r="Q76" s="189">
        <v>0</v>
      </c>
      <c r="R76" s="190">
        <f t="shared" si="9"/>
        <v>-1023.037980038928</v>
      </c>
    </row>
    <row r="77" spans="1:18" x14ac:dyDescent="0.25">
      <c r="A77" s="110">
        <v>10</v>
      </c>
      <c r="B77" s="181">
        <f t="shared" si="4"/>
        <v>45200</v>
      </c>
      <c r="C77" s="204">
        <f t="shared" si="21"/>
        <v>45233</v>
      </c>
      <c r="D77" s="204">
        <f t="shared" si="21"/>
        <v>45254</v>
      </c>
      <c r="E77" s="191" t="s">
        <v>83</v>
      </c>
      <c r="F77" s="221">
        <v>9</v>
      </c>
      <c r="G77" s="184">
        <v>37</v>
      </c>
      <c r="H77" s="185">
        <f t="shared" si="5"/>
        <v>2687.49</v>
      </c>
      <c r="I77" s="185">
        <f t="shared" si="20"/>
        <v>2669.98</v>
      </c>
      <c r="J77" s="186">
        <f t="shared" si="2"/>
        <v>98789.26</v>
      </c>
      <c r="K77" s="193">
        <f t="shared" si="11"/>
        <v>99437.12999999999</v>
      </c>
      <c r="L77" s="192">
        <f t="shared" si="22"/>
        <v>-647.86999999999534</v>
      </c>
      <c r="M77" s="189">
        <f t="shared" si="7"/>
        <v>-53.100467804465062</v>
      </c>
      <c r="N77" s="190">
        <f t="shared" si="8"/>
        <v>-700.97046780446044</v>
      </c>
      <c r="O77" s="189">
        <v>0</v>
      </c>
      <c r="P77" s="189">
        <v>0</v>
      </c>
      <c r="Q77" s="189">
        <v>0</v>
      </c>
      <c r="R77" s="190">
        <f t="shared" si="9"/>
        <v>-700.97046780446044</v>
      </c>
    </row>
    <row r="78" spans="1:18" x14ac:dyDescent="0.25">
      <c r="A78" s="146">
        <v>11</v>
      </c>
      <c r="B78" s="181">
        <f t="shared" si="4"/>
        <v>45231</v>
      </c>
      <c r="C78" s="204">
        <f t="shared" si="21"/>
        <v>45266</v>
      </c>
      <c r="D78" s="204">
        <f t="shared" si="21"/>
        <v>45285</v>
      </c>
      <c r="E78" s="191" t="s">
        <v>83</v>
      </c>
      <c r="F78" s="221">
        <v>9</v>
      </c>
      <c r="G78" s="184">
        <v>38</v>
      </c>
      <c r="H78" s="185">
        <f t="shared" si="5"/>
        <v>2687.49</v>
      </c>
      <c r="I78" s="185">
        <f t="shared" si="20"/>
        <v>2669.98</v>
      </c>
      <c r="J78" s="186">
        <f t="shared" si="2"/>
        <v>101459.24</v>
      </c>
      <c r="K78" s="193">
        <f>+$G78*H78</f>
        <v>102124.62</v>
      </c>
      <c r="L78" s="192">
        <f t="shared" si="22"/>
        <v>-665.3799999999901</v>
      </c>
      <c r="M78" s="189">
        <f t="shared" si="7"/>
        <v>-54.535615582964127</v>
      </c>
      <c r="N78" s="190">
        <f t="shared" si="8"/>
        <v>-719.91561558295427</v>
      </c>
      <c r="O78" s="189">
        <v>0</v>
      </c>
      <c r="P78" s="189">
        <v>0</v>
      </c>
      <c r="Q78" s="189">
        <v>0</v>
      </c>
      <c r="R78" s="190">
        <f t="shared" si="9"/>
        <v>-719.91561558295427</v>
      </c>
    </row>
    <row r="79" spans="1:18" s="208" customFormat="1" x14ac:dyDescent="0.25">
      <c r="A79" s="146">
        <v>12</v>
      </c>
      <c r="B79" s="206">
        <f t="shared" si="4"/>
        <v>45261</v>
      </c>
      <c r="C79" s="209">
        <f t="shared" si="21"/>
        <v>45294</v>
      </c>
      <c r="D79" s="209">
        <f t="shared" si="21"/>
        <v>45315</v>
      </c>
      <c r="E79" s="210" t="s">
        <v>83</v>
      </c>
      <c r="F79" s="223">
        <v>9</v>
      </c>
      <c r="G79" s="196">
        <v>35</v>
      </c>
      <c r="H79" s="197">
        <f t="shared" si="5"/>
        <v>2687.49</v>
      </c>
      <c r="I79" s="197">
        <f t="shared" si="20"/>
        <v>2669.98</v>
      </c>
      <c r="J79" s="198">
        <f t="shared" si="2"/>
        <v>93449.3</v>
      </c>
      <c r="K79" s="199">
        <f>+$G79*H79</f>
        <v>94062.15</v>
      </c>
      <c r="L79" s="200">
        <f t="shared" si="22"/>
        <v>-612.84999999999127</v>
      </c>
      <c r="M79" s="189">
        <f t="shared" si="7"/>
        <v>-50.230172247466953</v>
      </c>
      <c r="N79" s="190">
        <f t="shared" si="8"/>
        <v>-663.08017224745822</v>
      </c>
      <c r="O79" s="189">
        <v>0</v>
      </c>
      <c r="P79" s="189">
        <v>0</v>
      </c>
      <c r="Q79" s="189">
        <v>0</v>
      </c>
      <c r="R79" s="190">
        <f t="shared" si="9"/>
        <v>-663.08017224745822</v>
      </c>
    </row>
    <row r="80" spans="1:18" s="50" customFormat="1" ht="12.75" customHeight="1" x14ac:dyDescent="0.25">
      <c r="A80" s="110">
        <v>1</v>
      </c>
      <c r="B80" s="181">
        <f t="shared" si="4"/>
        <v>44927</v>
      </c>
      <c r="C80" s="202">
        <f t="shared" ref="C80:D91" si="23">+C56</f>
        <v>44960</v>
      </c>
      <c r="D80" s="202">
        <f t="shared" si="23"/>
        <v>44981</v>
      </c>
      <c r="E80" s="183" t="s">
        <v>9</v>
      </c>
      <c r="F80" s="133">
        <v>9</v>
      </c>
      <c r="G80" s="184">
        <v>53</v>
      </c>
      <c r="H80" s="185">
        <f t="shared" si="5"/>
        <v>2687.49</v>
      </c>
      <c r="I80" s="185">
        <f t="shared" si="20"/>
        <v>2669.98</v>
      </c>
      <c r="J80" s="186">
        <f t="shared" si="2"/>
        <v>141508.94</v>
      </c>
      <c r="K80" s="187">
        <f t="shared" si="11"/>
        <v>142436.97</v>
      </c>
      <c r="L80" s="188">
        <f t="shared" si="19"/>
        <v>-928.02999999999884</v>
      </c>
      <c r="M80" s="189">
        <f t="shared" si="7"/>
        <v>-76.062832260449966</v>
      </c>
      <c r="N80" s="190">
        <f t="shared" si="8"/>
        <v>-1004.0928322604489</v>
      </c>
      <c r="O80" s="189">
        <v>0</v>
      </c>
      <c r="P80" s="189">
        <v>0</v>
      </c>
      <c r="Q80" s="189">
        <v>0</v>
      </c>
      <c r="R80" s="190">
        <f t="shared" si="9"/>
        <v>-1004.0928322604489</v>
      </c>
    </row>
    <row r="81" spans="1:18" x14ac:dyDescent="0.25">
      <c r="A81" s="146">
        <v>2</v>
      </c>
      <c r="B81" s="181">
        <f t="shared" si="4"/>
        <v>44958</v>
      </c>
      <c r="C81" s="204">
        <f t="shared" si="23"/>
        <v>44988</v>
      </c>
      <c r="D81" s="204">
        <f t="shared" si="23"/>
        <v>45009</v>
      </c>
      <c r="E81" s="191" t="s">
        <v>9</v>
      </c>
      <c r="F81" s="221">
        <v>9</v>
      </c>
      <c r="G81" s="184">
        <v>55</v>
      </c>
      <c r="H81" s="185">
        <f t="shared" si="5"/>
        <v>2687.49</v>
      </c>
      <c r="I81" s="185">
        <f t="shared" si="20"/>
        <v>2669.98</v>
      </c>
      <c r="J81" s="186">
        <f t="shared" si="2"/>
        <v>146848.9</v>
      </c>
      <c r="K81" s="187">
        <f t="shared" si="11"/>
        <v>147811.94999999998</v>
      </c>
      <c r="L81" s="188">
        <f t="shared" si="19"/>
        <v>-963.04999999998836</v>
      </c>
      <c r="M81" s="189">
        <f t="shared" si="7"/>
        <v>-78.933127817448081</v>
      </c>
      <c r="N81" s="190">
        <f t="shared" si="8"/>
        <v>-1041.9831278174365</v>
      </c>
      <c r="O81" s="189">
        <v>0</v>
      </c>
      <c r="P81" s="189">
        <v>0</v>
      </c>
      <c r="Q81" s="189">
        <v>0</v>
      </c>
      <c r="R81" s="190">
        <f t="shared" si="9"/>
        <v>-1041.9831278174365</v>
      </c>
    </row>
    <row r="82" spans="1:18" x14ac:dyDescent="0.25">
      <c r="A82" s="146">
        <v>3</v>
      </c>
      <c r="B82" s="181">
        <f t="shared" si="4"/>
        <v>44986</v>
      </c>
      <c r="C82" s="204">
        <f t="shared" si="23"/>
        <v>45021</v>
      </c>
      <c r="D82" s="204">
        <f t="shared" si="23"/>
        <v>45040</v>
      </c>
      <c r="E82" s="191" t="s">
        <v>9</v>
      </c>
      <c r="F82" s="221">
        <v>9</v>
      </c>
      <c r="G82" s="184">
        <v>46</v>
      </c>
      <c r="H82" s="185">
        <f t="shared" si="5"/>
        <v>2687.49</v>
      </c>
      <c r="I82" s="185">
        <f t="shared" si="20"/>
        <v>2669.98</v>
      </c>
      <c r="J82" s="186">
        <f t="shared" si="2"/>
        <v>122819.08</v>
      </c>
      <c r="K82" s="187">
        <f t="shared" si="11"/>
        <v>123624.54</v>
      </c>
      <c r="L82" s="188">
        <f>+J82-K82</f>
        <v>-805.45999999999185</v>
      </c>
      <c r="M82" s="189">
        <f t="shared" si="7"/>
        <v>-66.016797810956575</v>
      </c>
      <c r="N82" s="190">
        <f t="shared" si="8"/>
        <v>-871.47679781094848</v>
      </c>
      <c r="O82" s="189">
        <v>0</v>
      </c>
      <c r="P82" s="189">
        <v>0</v>
      </c>
      <c r="Q82" s="189">
        <v>0</v>
      </c>
      <c r="R82" s="190">
        <f t="shared" si="9"/>
        <v>-871.47679781094848</v>
      </c>
    </row>
    <row r="83" spans="1:18" ht="12" customHeight="1" x14ac:dyDescent="0.25">
      <c r="A83" s="110">
        <v>4</v>
      </c>
      <c r="B83" s="181">
        <f t="shared" si="4"/>
        <v>45017</v>
      </c>
      <c r="C83" s="204">
        <f t="shared" si="23"/>
        <v>45049</v>
      </c>
      <c r="D83" s="204">
        <f t="shared" si="23"/>
        <v>45070</v>
      </c>
      <c r="E83" s="52" t="s">
        <v>9</v>
      </c>
      <c r="F83" s="221">
        <v>9</v>
      </c>
      <c r="G83" s="184">
        <v>33</v>
      </c>
      <c r="H83" s="185">
        <f t="shared" si="5"/>
        <v>2687.49</v>
      </c>
      <c r="I83" s="185">
        <f t="shared" si="20"/>
        <v>2669.98</v>
      </c>
      <c r="J83" s="186">
        <f t="shared" si="2"/>
        <v>88109.34</v>
      </c>
      <c r="K83" s="187">
        <f t="shared" si="11"/>
        <v>88687.17</v>
      </c>
      <c r="L83" s="188">
        <f t="shared" ref="L83:L93" si="24">+J83-K83</f>
        <v>-577.83000000000175</v>
      </c>
      <c r="M83" s="189">
        <f t="shared" si="7"/>
        <v>-47.359876690468845</v>
      </c>
      <c r="N83" s="190">
        <f t="shared" si="8"/>
        <v>-625.18987669047056</v>
      </c>
      <c r="O83" s="189">
        <v>0</v>
      </c>
      <c r="P83" s="189">
        <v>0</v>
      </c>
      <c r="Q83" s="189">
        <v>0</v>
      </c>
      <c r="R83" s="190">
        <f t="shared" si="9"/>
        <v>-625.18987669047056</v>
      </c>
    </row>
    <row r="84" spans="1:18" ht="12" customHeight="1" x14ac:dyDescent="0.25">
      <c r="A84" s="146">
        <v>5</v>
      </c>
      <c r="B84" s="181">
        <f t="shared" si="4"/>
        <v>45047</v>
      </c>
      <c r="C84" s="204">
        <f t="shared" si="23"/>
        <v>45082</v>
      </c>
      <c r="D84" s="204">
        <f t="shared" si="23"/>
        <v>45103</v>
      </c>
      <c r="E84" s="52" t="s">
        <v>9</v>
      </c>
      <c r="F84" s="221">
        <v>9</v>
      </c>
      <c r="G84" s="184">
        <v>44</v>
      </c>
      <c r="H84" s="185">
        <f t="shared" si="5"/>
        <v>2687.49</v>
      </c>
      <c r="I84" s="185">
        <f t="shared" si="20"/>
        <v>2669.98</v>
      </c>
      <c r="J84" s="186">
        <f t="shared" si="2"/>
        <v>117479.12</v>
      </c>
      <c r="K84" s="187">
        <f t="shared" si="11"/>
        <v>118249.56</v>
      </c>
      <c r="L84" s="188">
        <f t="shared" si="24"/>
        <v>-770.44000000000233</v>
      </c>
      <c r="M84" s="189">
        <f t="shared" si="7"/>
        <v>-63.14650225395846</v>
      </c>
      <c r="N84" s="190">
        <f t="shared" si="8"/>
        <v>-833.58650225396082</v>
      </c>
      <c r="O84" s="189">
        <v>0</v>
      </c>
      <c r="P84" s="189">
        <v>0</v>
      </c>
      <c r="Q84" s="189">
        <v>0</v>
      </c>
      <c r="R84" s="190">
        <f t="shared" si="9"/>
        <v>-833.58650225396082</v>
      </c>
    </row>
    <row r="85" spans="1:18" x14ac:dyDescent="0.25">
      <c r="A85" s="146">
        <v>6</v>
      </c>
      <c r="B85" s="181">
        <f t="shared" si="4"/>
        <v>45078</v>
      </c>
      <c r="C85" s="204">
        <f t="shared" si="23"/>
        <v>45112</v>
      </c>
      <c r="D85" s="204">
        <f t="shared" si="23"/>
        <v>45131</v>
      </c>
      <c r="E85" s="52" t="s">
        <v>9</v>
      </c>
      <c r="F85" s="221">
        <v>9</v>
      </c>
      <c r="G85" s="184">
        <v>55</v>
      </c>
      <c r="H85" s="185">
        <f t="shared" ref="H85:H148" si="25">+$K$3</f>
        <v>2687.49</v>
      </c>
      <c r="I85" s="185">
        <f t="shared" si="20"/>
        <v>2669.98</v>
      </c>
      <c r="J85" s="186">
        <f t="shared" si="2"/>
        <v>146848.9</v>
      </c>
      <c r="K85" s="187">
        <f t="shared" si="11"/>
        <v>147811.94999999998</v>
      </c>
      <c r="L85" s="192">
        <f t="shared" si="24"/>
        <v>-963.04999999998836</v>
      </c>
      <c r="M85" s="189">
        <f t="shared" ref="M85:M148" si="26">G85/$G$212*$M$14</f>
        <v>-78.933127817448081</v>
      </c>
      <c r="N85" s="190">
        <f t="shared" ref="N85:N148" si="27">SUM(L85:M85)</f>
        <v>-1041.9831278174365</v>
      </c>
      <c r="O85" s="189">
        <v>0</v>
      </c>
      <c r="P85" s="189">
        <v>0</v>
      </c>
      <c r="Q85" s="189">
        <v>0</v>
      </c>
      <c r="R85" s="190">
        <f t="shared" ref="R85:R148" si="28">+N85-Q85</f>
        <v>-1041.9831278174365</v>
      </c>
    </row>
    <row r="86" spans="1:18" x14ac:dyDescent="0.25">
      <c r="A86" s="110">
        <v>7</v>
      </c>
      <c r="B86" s="181">
        <f t="shared" si="4"/>
        <v>45108</v>
      </c>
      <c r="C86" s="204">
        <f t="shared" si="23"/>
        <v>45141</v>
      </c>
      <c r="D86" s="204">
        <f t="shared" si="23"/>
        <v>45162</v>
      </c>
      <c r="E86" s="52" t="s">
        <v>9</v>
      </c>
      <c r="F86" s="221">
        <v>9</v>
      </c>
      <c r="G86" s="184">
        <v>57</v>
      </c>
      <c r="H86" s="185">
        <f t="shared" si="25"/>
        <v>2687.49</v>
      </c>
      <c r="I86" s="185">
        <f t="shared" si="20"/>
        <v>2669.98</v>
      </c>
      <c r="J86" s="186">
        <f t="shared" si="2"/>
        <v>152188.86000000002</v>
      </c>
      <c r="K86" s="193">
        <f t="shared" si="11"/>
        <v>153186.93</v>
      </c>
      <c r="L86" s="192">
        <f t="shared" si="24"/>
        <v>-998.06999999997788</v>
      </c>
      <c r="M86" s="189">
        <f t="shared" si="26"/>
        <v>-81.803423374446183</v>
      </c>
      <c r="N86" s="190">
        <f t="shared" si="27"/>
        <v>-1079.873423374424</v>
      </c>
      <c r="O86" s="189">
        <v>0</v>
      </c>
      <c r="P86" s="189">
        <v>0</v>
      </c>
      <c r="Q86" s="189">
        <v>0</v>
      </c>
      <c r="R86" s="190">
        <f t="shared" si="28"/>
        <v>-1079.873423374424</v>
      </c>
    </row>
    <row r="87" spans="1:18" x14ac:dyDescent="0.25">
      <c r="A87" s="146">
        <v>8</v>
      </c>
      <c r="B87" s="181">
        <f t="shared" si="4"/>
        <v>45139</v>
      </c>
      <c r="C87" s="204">
        <f t="shared" si="23"/>
        <v>45174</v>
      </c>
      <c r="D87" s="204">
        <f t="shared" si="23"/>
        <v>45194</v>
      </c>
      <c r="E87" s="52" t="s">
        <v>9</v>
      </c>
      <c r="F87" s="221">
        <v>9</v>
      </c>
      <c r="G87" s="184">
        <v>56</v>
      </c>
      <c r="H87" s="185">
        <f t="shared" si="25"/>
        <v>2687.49</v>
      </c>
      <c r="I87" s="185">
        <f t="shared" si="20"/>
        <v>2669.98</v>
      </c>
      <c r="J87" s="186">
        <f t="shared" si="2"/>
        <v>149518.88</v>
      </c>
      <c r="K87" s="193">
        <f t="shared" si="11"/>
        <v>150499.44</v>
      </c>
      <c r="L87" s="192">
        <f t="shared" si="24"/>
        <v>-980.55999999999767</v>
      </c>
      <c r="M87" s="189">
        <f t="shared" si="26"/>
        <v>-80.368275595947125</v>
      </c>
      <c r="N87" s="190">
        <f t="shared" si="27"/>
        <v>-1060.9282755959448</v>
      </c>
      <c r="O87" s="189">
        <v>0</v>
      </c>
      <c r="P87" s="189">
        <v>0</v>
      </c>
      <c r="Q87" s="189">
        <v>0</v>
      </c>
      <c r="R87" s="190">
        <f t="shared" si="28"/>
        <v>-1060.9282755959448</v>
      </c>
    </row>
    <row r="88" spans="1:18" x14ac:dyDescent="0.25">
      <c r="A88" s="146">
        <v>9</v>
      </c>
      <c r="B88" s="181">
        <f t="shared" si="4"/>
        <v>45170</v>
      </c>
      <c r="C88" s="204">
        <f t="shared" si="23"/>
        <v>45203</v>
      </c>
      <c r="D88" s="204">
        <f t="shared" si="23"/>
        <v>45223</v>
      </c>
      <c r="E88" s="52" t="s">
        <v>9</v>
      </c>
      <c r="F88" s="221">
        <v>9</v>
      </c>
      <c r="G88" s="184">
        <v>60</v>
      </c>
      <c r="H88" s="185">
        <f t="shared" si="25"/>
        <v>2687.49</v>
      </c>
      <c r="I88" s="185">
        <f t="shared" si="20"/>
        <v>2669.98</v>
      </c>
      <c r="J88" s="186">
        <f t="shared" si="2"/>
        <v>160198.79999999999</v>
      </c>
      <c r="K88" s="193">
        <f t="shared" si="11"/>
        <v>161249.4</v>
      </c>
      <c r="L88" s="192">
        <f t="shared" si="24"/>
        <v>-1050.6000000000058</v>
      </c>
      <c r="M88" s="189">
        <f t="shared" si="26"/>
        <v>-86.108866709943342</v>
      </c>
      <c r="N88" s="190">
        <f t="shared" si="27"/>
        <v>-1136.7088667099492</v>
      </c>
      <c r="O88" s="189">
        <v>0</v>
      </c>
      <c r="P88" s="189">
        <v>0</v>
      </c>
      <c r="Q88" s="189">
        <v>0</v>
      </c>
      <c r="R88" s="190">
        <f t="shared" si="28"/>
        <v>-1136.7088667099492</v>
      </c>
    </row>
    <row r="89" spans="1:18" x14ac:dyDescent="0.25">
      <c r="A89" s="110">
        <v>10</v>
      </c>
      <c r="B89" s="181">
        <f t="shared" si="4"/>
        <v>45200</v>
      </c>
      <c r="C89" s="204">
        <f t="shared" si="23"/>
        <v>45233</v>
      </c>
      <c r="D89" s="204">
        <f t="shared" si="23"/>
        <v>45254</v>
      </c>
      <c r="E89" s="52" t="s">
        <v>9</v>
      </c>
      <c r="F89" s="221">
        <v>9</v>
      </c>
      <c r="G89" s="184">
        <v>48</v>
      </c>
      <c r="H89" s="185">
        <f t="shared" si="25"/>
        <v>2687.49</v>
      </c>
      <c r="I89" s="185">
        <f t="shared" si="20"/>
        <v>2669.98</v>
      </c>
      <c r="J89" s="186">
        <f t="shared" si="2"/>
        <v>128159.04000000001</v>
      </c>
      <c r="K89" s="193">
        <f t="shared" si="11"/>
        <v>128999.51999999999</v>
      </c>
      <c r="L89" s="192">
        <f t="shared" si="24"/>
        <v>-840.47999999998137</v>
      </c>
      <c r="M89" s="189">
        <f t="shared" si="26"/>
        <v>-68.887093367954677</v>
      </c>
      <c r="N89" s="190">
        <f t="shared" si="27"/>
        <v>-909.36709336793604</v>
      </c>
      <c r="O89" s="189">
        <v>0</v>
      </c>
      <c r="P89" s="189">
        <v>0</v>
      </c>
      <c r="Q89" s="189">
        <v>0</v>
      </c>
      <c r="R89" s="190">
        <f t="shared" si="28"/>
        <v>-909.36709336793604</v>
      </c>
    </row>
    <row r="90" spans="1:18" x14ac:dyDescent="0.25">
      <c r="A90" s="146">
        <v>11</v>
      </c>
      <c r="B90" s="181">
        <f t="shared" si="4"/>
        <v>45231</v>
      </c>
      <c r="C90" s="204">
        <f t="shared" si="23"/>
        <v>45266</v>
      </c>
      <c r="D90" s="204">
        <f t="shared" si="23"/>
        <v>45285</v>
      </c>
      <c r="E90" s="52" t="s">
        <v>9</v>
      </c>
      <c r="F90" s="221">
        <v>9</v>
      </c>
      <c r="G90" s="184">
        <v>54</v>
      </c>
      <c r="H90" s="185">
        <f t="shared" si="25"/>
        <v>2687.49</v>
      </c>
      <c r="I90" s="185">
        <f t="shared" si="20"/>
        <v>2669.98</v>
      </c>
      <c r="J90" s="186">
        <f t="shared" si="2"/>
        <v>144178.92000000001</v>
      </c>
      <c r="K90" s="193">
        <f t="shared" si="11"/>
        <v>145124.46</v>
      </c>
      <c r="L90" s="192">
        <f t="shared" si="24"/>
        <v>-945.53999999997905</v>
      </c>
      <c r="M90" s="189">
        <f t="shared" si="26"/>
        <v>-77.497980038949024</v>
      </c>
      <c r="N90" s="190">
        <f t="shared" si="27"/>
        <v>-1023.037980038928</v>
      </c>
      <c r="O90" s="189">
        <v>0</v>
      </c>
      <c r="P90" s="189">
        <v>0</v>
      </c>
      <c r="Q90" s="189">
        <v>0</v>
      </c>
      <c r="R90" s="190">
        <f t="shared" si="28"/>
        <v>-1023.037980038928</v>
      </c>
    </row>
    <row r="91" spans="1:18" s="208" customFormat="1" x14ac:dyDescent="0.25">
      <c r="A91" s="146">
        <v>12</v>
      </c>
      <c r="B91" s="206">
        <f t="shared" si="4"/>
        <v>45261</v>
      </c>
      <c r="C91" s="204">
        <f t="shared" si="23"/>
        <v>45294</v>
      </c>
      <c r="D91" s="204">
        <f t="shared" si="23"/>
        <v>45315</v>
      </c>
      <c r="E91" s="207" t="s">
        <v>9</v>
      </c>
      <c r="F91" s="223">
        <v>9</v>
      </c>
      <c r="G91" s="196">
        <v>55</v>
      </c>
      <c r="H91" s="197">
        <f t="shared" si="25"/>
        <v>2687.49</v>
      </c>
      <c r="I91" s="197">
        <f t="shared" si="20"/>
        <v>2669.98</v>
      </c>
      <c r="J91" s="198">
        <f t="shared" si="2"/>
        <v>146848.9</v>
      </c>
      <c r="K91" s="199">
        <f t="shared" si="11"/>
        <v>147811.94999999998</v>
      </c>
      <c r="L91" s="200">
        <f t="shared" si="24"/>
        <v>-963.04999999998836</v>
      </c>
      <c r="M91" s="189">
        <f t="shared" si="26"/>
        <v>-78.933127817448081</v>
      </c>
      <c r="N91" s="190">
        <f t="shared" si="27"/>
        <v>-1041.9831278174365</v>
      </c>
      <c r="O91" s="189">
        <v>0</v>
      </c>
      <c r="P91" s="189">
        <v>0</v>
      </c>
      <c r="Q91" s="189">
        <v>0</v>
      </c>
      <c r="R91" s="190">
        <f t="shared" si="28"/>
        <v>-1041.9831278174365</v>
      </c>
    </row>
    <row r="92" spans="1:18" x14ac:dyDescent="0.25">
      <c r="A92" s="110">
        <v>1</v>
      </c>
      <c r="B92" s="181">
        <f t="shared" si="4"/>
        <v>44927</v>
      </c>
      <c r="C92" s="202">
        <f t="shared" ref="C92:D95" si="29">+C80</f>
        <v>44960</v>
      </c>
      <c r="D92" s="202">
        <f t="shared" si="29"/>
        <v>44981</v>
      </c>
      <c r="E92" s="183" t="s">
        <v>8</v>
      </c>
      <c r="F92" s="133">
        <v>9</v>
      </c>
      <c r="G92" s="184">
        <v>84</v>
      </c>
      <c r="H92" s="185">
        <f t="shared" si="25"/>
        <v>2687.49</v>
      </c>
      <c r="I92" s="185">
        <f t="shared" si="20"/>
        <v>2669.98</v>
      </c>
      <c r="J92" s="186">
        <f t="shared" si="2"/>
        <v>224278.32</v>
      </c>
      <c r="K92" s="187">
        <f t="shared" si="11"/>
        <v>225749.15999999997</v>
      </c>
      <c r="L92" s="188">
        <f t="shared" si="24"/>
        <v>-1470.8399999999674</v>
      </c>
      <c r="M92" s="189">
        <f t="shared" si="26"/>
        <v>-120.55241339392069</v>
      </c>
      <c r="N92" s="190">
        <f t="shared" si="27"/>
        <v>-1591.3924133938881</v>
      </c>
      <c r="O92" s="189">
        <v>0</v>
      </c>
      <c r="P92" s="189">
        <v>0</v>
      </c>
      <c r="Q92" s="189">
        <v>0</v>
      </c>
      <c r="R92" s="190">
        <f t="shared" si="28"/>
        <v>-1591.3924133938881</v>
      </c>
    </row>
    <row r="93" spans="1:18" x14ac:dyDescent="0.25">
      <c r="A93" s="146">
        <v>2</v>
      </c>
      <c r="B93" s="181">
        <f t="shared" si="4"/>
        <v>44958</v>
      </c>
      <c r="C93" s="204">
        <f t="shared" si="29"/>
        <v>44988</v>
      </c>
      <c r="D93" s="204">
        <f t="shared" si="29"/>
        <v>45009</v>
      </c>
      <c r="E93" s="191" t="s">
        <v>8</v>
      </c>
      <c r="F93" s="221">
        <v>9</v>
      </c>
      <c r="G93" s="184">
        <v>83</v>
      </c>
      <c r="H93" s="185">
        <f t="shared" si="25"/>
        <v>2687.49</v>
      </c>
      <c r="I93" s="185">
        <f t="shared" si="20"/>
        <v>2669.98</v>
      </c>
      <c r="J93" s="186">
        <f t="shared" si="2"/>
        <v>221608.34</v>
      </c>
      <c r="K93" s="187">
        <f t="shared" si="11"/>
        <v>223061.66999999998</v>
      </c>
      <c r="L93" s="188">
        <f t="shared" si="24"/>
        <v>-1453.3299999999872</v>
      </c>
      <c r="M93" s="189">
        <f t="shared" si="26"/>
        <v>-119.11726561542163</v>
      </c>
      <c r="N93" s="190">
        <f t="shared" si="27"/>
        <v>-1572.4472656154089</v>
      </c>
      <c r="O93" s="189">
        <v>0</v>
      </c>
      <c r="P93" s="189">
        <v>0</v>
      </c>
      <c r="Q93" s="189">
        <v>0</v>
      </c>
      <c r="R93" s="190">
        <f t="shared" si="28"/>
        <v>-1572.4472656154089</v>
      </c>
    </row>
    <row r="94" spans="1:18" x14ac:dyDescent="0.25">
      <c r="A94" s="146">
        <v>3</v>
      </c>
      <c r="B94" s="181">
        <f t="shared" si="4"/>
        <v>44986</v>
      </c>
      <c r="C94" s="204">
        <f t="shared" si="29"/>
        <v>45021</v>
      </c>
      <c r="D94" s="204">
        <f t="shared" si="29"/>
        <v>45040</v>
      </c>
      <c r="E94" s="191" t="s">
        <v>8</v>
      </c>
      <c r="F94" s="221">
        <v>9</v>
      </c>
      <c r="G94" s="184">
        <v>76</v>
      </c>
      <c r="H94" s="185">
        <f t="shared" si="25"/>
        <v>2687.49</v>
      </c>
      <c r="I94" s="185">
        <f t="shared" si="20"/>
        <v>2669.98</v>
      </c>
      <c r="J94" s="186">
        <f t="shared" si="2"/>
        <v>202918.48</v>
      </c>
      <c r="K94" s="187">
        <f t="shared" ref="K94:K133" si="30">+$G94*H94</f>
        <v>204249.24</v>
      </c>
      <c r="L94" s="188">
        <f>+J94-K94</f>
        <v>-1330.7599999999802</v>
      </c>
      <c r="M94" s="189">
        <f t="shared" si="26"/>
        <v>-109.07123116592825</v>
      </c>
      <c r="N94" s="190">
        <f t="shared" si="27"/>
        <v>-1439.8312311659085</v>
      </c>
      <c r="O94" s="189">
        <v>0</v>
      </c>
      <c r="P94" s="189">
        <v>0</v>
      </c>
      <c r="Q94" s="189">
        <v>0</v>
      </c>
      <c r="R94" s="190">
        <f t="shared" si="28"/>
        <v>-1439.8312311659085</v>
      </c>
    </row>
    <row r="95" spans="1:18" x14ac:dyDescent="0.25">
      <c r="A95" s="110">
        <v>4</v>
      </c>
      <c r="B95" s="181">
        <f t="shared" si="4"/>
        <v>45017</v>
      </c>
      <c r="C95" s="204">
        <f t="shared" si="29"/>
        <v>45049</v>
      </c>
      <c r="D95" s="204">
        <f t="shared" si="29"/>
        <v>45070</v>
      </c>
      <c r="E95" s="191" t="s">
        <v>8</v>
      </c>
      <c r="F95" s="221">
        <v>9</v>
      </c>
      <c r="G95" s="184">
        <v>69</v>
      </c>
      <c r="H95" s="185">
        <f t="shared" si="25"/>
        <v>2687.49</v>
      </c>
      <c r="I95" s="185">
        <f t="shared" si="20"/>
        <v>2669.98</v>
      </c>
      <c r="J95" s="186">
        <f t="shared" si="2"/>
        <v>184228.62</v>
      </c>
      <c r="K95" s="187">
        <f t="shared" si="30"/>
        <v>185436.81</v>
      </c>
      <c r="L95" s="188">
        <f t="shared" ref="L95:L105" si="31">+J95-K95</f>
        <v>-1208.1900000000023</v>
      </c>
      <c r="M95" s="189">
        <f t="shared" si="26"/>
        <v>-99.025196716434849</v>
      </c>
      <c r="N95" s="190">
        <f t="shared" si="27"/>
        <v>-1307.2151967164373</v>
      </c>
      <c r="O95" s="189">
        <v>0</v>
      </c>
      <c r="P95" s="189">
        <v>0</v>
      </c>
      <c r="Q95" s="189">
        <v>0</v>
      </c>
      <c r="R95" s="190">
        <f t="shared" si="28"/>
        <v>-1307.2151967164373</v>
      </c>
    </row>
    <row r="96" spans="1:18" x14ac:dyDescent="0.25">
      <c r="A96" s="146">
        <v>5</v>
      </c>
      <c r="B96" s="181">
        <f t="shared" si="4"/>
        <v>45047</v>
      </c>
      <c r="C96" s="204">
        <f t="shared" ref="C96:D116" si="32">+C84</f>
        <v>45082</v>
      </c>
      <c r="D96" s="204">
        <f t="shared" si="32"/>
        <v>45103</v>
      </c>
      <c r="E96" s="52" t="s">
        <v>8</v>
      </c>
      <c r="F96" s="221">
        <v>9</v>
      </c>
      <c r="G96" s="184">
        <v>99</v>
      </c>
      <c r="H96" s="185">
        <f t="shared" si="25"/>
        <v>2687.49</v>
      </c>
      <c r="I96" s="185">
        <f t="shared" si="20"/>
        <v>2669.98</v>
      </c>
      <c r="J96" s="186">
        <f t="shared" si="2"/>
        <v>264328.02</v>
      </c>
      <c r="K96" s="187">
        <f t="shared" si="30"/>
        <v>266061.50999999995</v>
      </c>
      <c r="L96" s="188">
        <f t="shared" si="31"/>
        <v>-1733.4899999999325</v>
      </c>
      <c r="M96" s="189">
        <f t="shared" si="26"/>
        <v>-142.07963007140654</v>
      </c>
      <c r="N96" s="190">
        <f t="shared" si="27"/>
        <v>-1875.5696300713389</v>
      </c>
      <c r="O96" s="189">
        <v>0</v>
      </c>
      <c r="P96" s="189">
        <v>0</v>
      </c>
      <c r="Q96" s="189">
        <v>0</v>
      </c>
      <c r="R96" s="190">
        <f t="shared" si="28"/>
        <v>-1875.5696300713389</v>
      </c>
    </row>
    <row r="97" spans="1:18" x14ac:dyDescent="0.25">
      <c r="A97" s="146">
        <v>6</v>
      </c>
      <c r="B97" s="181">
        <f t="shared" si="4"/>
        <v>45078</v>
      </c>
      <c r="C97" s="204">
        <f t="shared" si="32"/>
        <v>45112</v>
      </c>
      <c r="D97" s="204">
        <f t="shared" si="32"/>
        <v>45131</v>
      </c>
      <c r="E97" s="52" t="s">
        <v>8</v>
      </c>
      <c r="F97" s="221">
        <v>9</v>
      </c>
      <c r="G97" s="184">
        <v>149</v>
      </c>
      <c r="H97" s="185">
        <f t="shared" si="25"/>
        <v>2687.49</v>
      </c>
      <c r="I97" s="185">
        <f t="shared" si="20"/>
        <v>2669.98</v>
      </c>
      <c r="J97" s="186">
        <f t="shared" si="2"/>
        <v>397827.02</v>
      </c>
      <c r="K97" s="187">
        <f t="shared" si="30"/>
        <v>400436.00999999995</v>
      </c>
      <c r="L97" s="192">
        <f t="shared" si="31"/>
        <v>-2608.9899999999325</v>
      </c>
      <c r="M97" s="189">
        <f t="shared" si="26"/>
        <v>-213.83701899635932</v>
      </c>
      <c r="N97" s="190">
        <f t="shared" si="27"/>
        <v>-2822.8270189962918</v>
      </c>
      <c r="O97" s="189">
        <v>0</v>
      </c>
      <c r="P97" s="189">
        <v>0</v>
      </c>
      <c r="Q97" s="189">
        <v>0</v>
      </c>
      <c r="R97" s="190">
        <f t="shared" si="28"/>
        <v>-2822.8270189962918</v>
      </c>
    </row>
    <row r="98" spans="1:18" x14ac:dyDescent="0.25">
      <c r="A98" s="110">
        <v>7</v>
      </c>
      <c r="B98" s="181">
        <f t="shared" si="4"/>
        <v>45108</v>
      </c>
      <c r="C98" s="204">
        <f t="shared" si="32"/>
        <v>45141</v>
      </c>
      <c r="D98" s="204">
        <f t="shared" si="32"/>
        <v>45162</v>
      </c>
      <c r="E98" s="52" t="s">
        <v>8</v>
      </c>
      <c r="F98" s="221">
        <v>9</v>
      </c>
      <c r="G98" s="184">
        <v>148</v>
      </c>
      <c r="H98" s="185">
        <f t="shared" si="25"/>
        <v>2687.49</v>
      </c>
      <c r="I98" s="185">
        <f t="shared" si="20"/>
        <v>2669.98</v>
      </c>
      <c r="J98" s="186">
        <f t="shared" si="2"/>
        <v>395157.04</v>
      </c>
      <c r="K98" s="193">
        <f t="shared" si="30"/>
        <v>397748.51999999996</v>
      </c>
      <c r="L98" s="192">
        <f t="shared" si="31"/>
        <v>-2591.4799999999814</v>
      </c>
      <c r="M98" s="189">
        <f t="shared" si="26"/>
        <v>-212.40187121786025</v>
      </c>
      <c r="N98" s="190">
        <f t="shared" si="27"/>
        <v>-2803.8818712178418</v>
      </c>
      <c r="O98" s="189">
        <v>0</v>
      </c>
      <c r="P98" s="189">
        <v>0</v>
      </c>
      <c r="Q98" s="189">
        <v>0</v>
      </c>
      <c r="R98" s="190">
        <f t="shared" si="28"/>
        <v>-2803.8818712178418</v>
      </c>
    </row>
    <row r="99" spans="1:18" x14ac:dyDescent="0.25">
      <c r="A99" s="146">
        <v>8</v>
      </c>
      <c r="B99" s="181">
        <f t="shared" si="4"/>
        <v>45139</v>
      </c>
      <c r="C99" s="204">
        <f t="shared" si="32"/>
        <v>45174</v>
      </c>
      <c r="D99" s="204">
        <f t="shared" si="32"/>
        <v>45194</v>
      </c>
      <c r="E99" s="52" t="s">
        <v>8</v>
      </c>
      <c r="F99" s="221">
        <v>9</v>
      </c>
      <c r="G99" s="184">
        <v>160</v>
      </c>
      <c r="H99" s="185">
        <f t="shared" si="25"/>
        <v>2687.49</v>
      </c>
      <c r="I99" s="185">
        <f t="shared" si="20"/>
        <v>2669.98</v>
      </c>
      <c r="J99" s="186">
        <f t="shared" si="2"/>
        <v>427196.8</v>
      </c>
      <c r="K99" s="193">
        <f t="shared" si="30"/>
        <v>429998.39999999997</v>
      </c>
      <c r="L99" s="192">
        <f t="shared" si="31"/>
        <v>-2801.5999999999767</v>
      </c>
      <c r="M99" s="189">
        <f t="shared" si="26"/>
        <v>-229.62364455984894</v>
      </c>
      <c r="N99" s="190">
        <f t="shared" si="27"/>
        <v>-3031.2236445598255</v>
      </c>
      <c r="O99" s="189">
        <v>0</v>
      </c>
      <c r="P99" s="189">
        <v>0</v>
      </c>
      <c r="Q99" s="189">
        <v>0</v>
      </c>
      <c r="R99" s="190">
        <f t="shared" si="28"/>
        <v>-3031.2236445598255</v>
      </c>
    </row>
    <row r="100" spans="1:18" x14ac:dyDescent="0.25">
      <c r="A100" s="146">
        <v>9</v>
      </c>
      <c r="B100" s="181">
        <f t="shared" si="4"/>
        <v>45170</v>
      </c>
      <c r="C100" s="204">
        <f t="shared" si="32"/>
        <v>45203</v>
      </c>
      <c r="D100" s="204">
        <f t="shared" si="32"/>
        <v>45223</v>
      </c>
      <c r="E100" s="52" t="s">
        <v>8</v>
      </c>
      <c r="F100" s="221">
        <v>9</v>
      </c>
      <c r="G100" s="184">
        <v>155</v>
      </c>
      <c r="H100" s="185">
        <f t="shared" si="25"/>
        <v>2687.49</v>
      </c>
      <c r="I100" s="185">
        <f t="shared" si="20"/>
        <v>2669.98</v>
      </c>
      <c r="J100" s="186">
        <f t="shared" si="2"/>
        <v>413846.9</v>
      </c>
      <c r="K100" s="193">
        <f t="shared" si="30"/>
        <v>416560.94999999995</v>
      </c>
      <c r="L100" s="192">
        <f t="shared" si="31"/>
        <v>-2714.0499999999302</v>
      </c>
      <c r="M100" s="189">
        <f t="shared" si="26"/>
        <v>-222.44790566735364</v>
      </c>
      <c r="N100" s="190">
        <f t="shared" si="27"/>
        <v>-2936.4979056672837</v>
      </c>
      <c r="O100" s="189">
        <v>0</v>
      </c>
      <c r="P100" s="189">
        <v>0</v>
      </c>
      <c r="Q100" s="189">
        <v>0</v>
      </c>
      <c r="R100" s="190">
        <f t="shared" si="28"/>
        <v>-2936.4979056672837</v>
      </c>
    </row>
    <row r="101" spans="1:18" x14ac:dyDescent="0.25">
      <c r="A101" s="110">
        <v>10</v>
      </c>
      <c r="B101" s="181">
        <f t="shared" si="4"/>
        <v>45200</v>
      </c>
      <c r="C101" s="204">
        <f t="shared" si="32"/>
        <v>45233</v>
      </c>
      <c r="D101" s="204">
        <f t="shared" si="32"/>
        <v>45254</v>
      </c>
      <c r="E101" s="52" t="s">
        <v>8</v>
      </c>
      <c r="F101" s="221">
        <v>9</v>
      </c>
      <c r="G101" s="184">
        <v>110</v>
      </c>
      <c r="H101" s="185">
        <f t="shared" si="25"/>
        <v>2687.49</v>
      </c>
      <c r="I101" s="185">
        <f t="shared" si="20"/>
        <v>2669.98</v>
      </c>
      <c r="J101" s="186">
        <f t="shared" si="2"/>
        <v>293697.8</v>
      </c>
      <c r="K101" s="193">
        <f t="shared" si="30"/>
        <v>295623.89999999997</v>
      </c>
      <c r="L101" s="192">
        <f t="shared" si="31"/>
        <v>-1926.0999999999767</v>
      </c>
      <c r="M101" s="189">
        <f t="shared" si="26"/>
        <v>-157.86625563489616</v>
      </c>
      <c r="N101" s="190">
        <f t="shared" si="27"/>
        <v>-2083.9662556348731</v>
      </c>
      <c r="O101" s="189">
        <v>0</v>
      </c>
      <c r="P101" s="189">
        <v>0</v>
      </c>
      <c r="Q101" s="189">
        <v>0</v>
      </c>
      <c r="R101" s="190">
        <f t="shared" si="28"/>
        <v>-2083.9662556348731</v>
      </c>
    </row>
    <row r="102" spans="1:18" x14ac:dyDescent="0.25">
      <c r="A102" s="146">
        <v>11</v>
      </c>
      <c r="B102" s="181">
        <f t="shared" si="4"/>
        <v>45231</v>
      </c>
      <c r="C102" s="204">
        <f t="shared" si="32"/>
        <v>45266</v>
      </c>
      <c r="D102" s="204">
        <f t="shared" si="32"/>
        <v>45285</v>
      </c>
      <c r="E102" s="52" t="s">
        <v>8</v>
      </c>
      <c r="F102" s="221">
        <v>9</v>
      </c>
      <c r="G102" s="184">
        <v>70</v>
      </c>
      <c r="H102" s="185">
        <f t="shared" si="25"/>
        <v>2687.49</v>
      </c>
      <c r="I102" s="185">
        <f t="shared" si="20"/>
        <v>2669.98</v>
      </c>
      <c r="J102" s="186">
        <f t="shared" si="2"/>
        <v>186898.6</v>
      </c>
      <c r="K102" s="193">
        <f t="shared" si="30"/>
        <v>188124.3</v>
      </c>
      <c r="L102" s="192">
        <f t="shared" si="31"/>
        <v>-1225.6999999999825</v>
      </c>
      <c r="M102" s="189">
        <f t="shared" si="26"/>
        <v>-100.46034449493391</v>
      </c>
      <c r="N102" s="190">
        <f t="shared" si="27"/>
        <v>-1326.1603444949164</v>
      </c>
      <c r="O102" s="189">
        <v>0</v>
      </c>
      <c r="P102" s="189">
        <v>0</v>
      </c>
      <c r="Q102" s="189">
        <v>0</v>
      </c>
      <c r="R102" s="190">
        <f t="shared" si="28"/>
        <v>-1326.1603444949164</v>
      </c>
    </row>
    <row r="103" spans="1:18" s="208" customFormat="1" x14ac:dyDescent="0.25">
      <c r="A103" s="146">
        <v>12</v>
      </c>
      <c r="B103" s="206">
        <f t="shared" si="4"/>
        <v>45261</v>
      </c>
      <c r="C103" s="204">
        <f t="shared" si="32"/>
        <v>45294</v>
      </c>
      <c r="D103" s="204">
        <f t="shared" si="32"/>
        <v>45315</v>
      </c>
      <c r="E103" s="207" t="s">
        <v>8</v>
      </c>
      <c r="F103" s="223">
        <v>9</v>
      </c>
      <c r="G103" s="196">
        <v>66</v>
      </c>
      <c r="H103" s="197">
        <f t="shared" si="25"/>
        <v>2687.49</v>
      </c>
      <c r="I103" s="197">
        <f t="shared" si="20"/>
        <v>2669.98</v>
      </c>
      <c r="J103" s="198">
        <f t="shared" si="2"/>
        <v>176218.68</v>
      </c>
      <c r="K103" s="199">
        <f t="shared" si="30"/>
        <v>177374.34</v>
      </c>
      <c r="L103" s="200">
        <f t="shared" si="31"/>
        <v>-1155.6600000000035</v>
      </c>
      <c r="M103" s="189">
        <f t="shared" si="26"/>
        <v>-94.719753380937689</v>
      </c>
      <c r="N103" s="190">
        <f t="shared" si="27"/>
        <v>-1250.3797533809411</v>
      </c>
      <c r="O103" s="189">
        <v>0</v>
      </c>
      <c r="P103" s="189">
        <v>0</v>
      </c>
      <c r="Q103" s="189">
        <v>0</v>
      </c>
      <c r="R103" s="190">
        <f t="shared" si="28"/>
        <v>-1250.3797533809411</v>
      </c>
    </row>
    <row r="104" spans="1:18" x14ac:dyDescent="0.25">
      <c r="A104" s="110">
        <v>1</v>
      </c>
      <c r="B104" s="181">
        <f t="shared" si="4"/>
        <v>44927</v>
      </c>
      <c r="C104" s="202">
        <f t="shared" si="32"/>
        <v>44960</v>
      </c>
      <c r="D104" s="202">
        <f t="shared" si="32"/>
        <v>44981</v>
      </c>
      <c r="E104" s="183" t="s">
        <v>19</v>
      </c>
      <c r="F104" s="133">
        <v>9</v>
      </c>
      <c r="G104" s="184">
        <v>63</v>
      </c>
      <c r="H104" s="185">
        <f t="shared" si="25"/>
        <v>2687.49</v>
      </c>
      <c r="I104" s="185">
        <f t="shared" si="20"/>
        <v>2669.98</v>
      </c>
      <c r="J104" s="186">
        <f t="shared" si="2"/>
        <v>168208.74</v>
      </c>
      <c r="K104" s="187">
        <f t="shared" si="30"/>
        <v>169311.87</v>
      </c>
      <c r="L104" s="188">
        <f t="shared" si="31"/>
        <v>-1103.1300000000047</v>
      </c>
      <c r="M104" s="189">
        <f t="shared" si="26"/>
        <v>-90.414310045440516</v>
      </c>
      <c r="N104" s="190">
        <f t="shared" si="27"/>
        <v>-1193.5443100454452</v>
      </c>
      <c r="O104" s="189">
        <v>0</v>
      </c>
      <c r="P104" s="189">
        <v>0</v>
      </c>
      <c r="Q104" s="189">
        <v>0</v>
      </c>
      <c r="R104" s="190">
        <f t="shared" si="28"/>
        <v>-1193.5443100454452</v>
      </c>
    </row>
    <row r="105" spans="1:18" x14ac:dyDescent="0.25">
      <c r="A105" s="146">
        <v>2</v>
      </c>
      <c r="B105" s="181">
        <f t="shared" si="4"/>
        <v>44958</v>
      </c>
      <c r="C105" s="204">
        <f t="shared" si="32"/>
        <v>44988</v>
      </c>
      <c r="D105" s="204">
        <f t="shared" si="32"/>
        <v>45009</v>
      </c>
      <c r="E105" s="191" t="s">
        <v>19</v>
      </c>
      <c r="F105" s="221">
        <v>9</v>
      </c>
      <c r="G105" s="184">
        <v>63</v>
      </c>
      <c r="H105" s="185">
        <f t="shared" si="25"/>
        <v>2687.49</v>
      </c>
      <c r="I105" s="185">
        <f t="shared" si="20"/>
        <v>2669.98</v>
      </c>
      <c r="J105" s="186">
        <f t="shared" si="2"/>
        <v>168208.74</v>
      </c>
      <c r="K105" s="187">
        <f t="shared" si="30"/>
        <v>169311.87</v>
      </c>
      <c r="L105" s="188">
        <f t="shared" si="31"/>
        <v>-1103.1300000000047</v>
      </c>
      <c r="M105" s="189">
        <f t="shared" si="26"/>
        <v>-90.414310045440516</v>
      </c>
      <c r="N105" s="190">
        <f t="shared" si="27"/>
        <v>-1193.5443100454452</v>
      </c>
      <c r="O105" s="189">
        <v>0</v>
      </c>
      <c r="P105" s="189">
        <v>0</v>
      </c>
      <c r="Q105" s="189">
        <v>0</v>
      </c>
      <c r="R105" s="190">
        <f t="shared" si="28"/>
        <v>-1193.5443100454452</v>
      </c>
    </row>
    <row r="106" spans="1:18" x14ac:dyDescent="0.25">
      <c r="A106" s="146">
        <v>3</v>
      </c>
      <c r="B106" s="181">
        <f t="shared" si="4"/>
        <v>44986</v>
      </c>
      <c r="C106" s="204">
        <f t="shared" si="32"/>
        <v>45021</v>
      </c>
      <c r="D106" s="204">
        <f t="shared" si="32"/>
        <v>45040</v>
      </c>
      <c r="E106" s="191" t="s">
        <v>19</v>
      </c>
      <c r="F106" s="221">
        <v>9</v>
      </c>
      <c r="G106" s="184">
        <v>67</v>
      </c>
      <c r="H106" s="185">
        <f t="shared" si="25"/>
        <v>2687.49</v>
      </c>
      <c r="I106" s="185">
        <f t="shared" si="20"/>
        <v>2669.98</v>
      </c>
      <c r="J106" s="186">
        <f t="shared" si="2"/>
        <v>178888.66</v>
      </c>
      <c r="K106" s="187">
        <f t="shared" si="30"/>
        <v>180061.83</v>
      </c>
      <c r="L106" s="188">
        <f>+J106-K106</f>
        <v>-1173.1699999999837</v>
      </c>
      <c r="M106" s="189">
        <f t="shared" si="26"/>
        <v>-96.154901159436747</v>
      </c>
      <c r="N106" s="190">
        <f t="shared" si="27"/>
        <v>-1269.3249011594205</v>
      </c>
      <c r="O106" s="189">
        <v>0</v>
      </c>
      <c r="P106" s="189">
        <v>0</v>
      </c>
      <c r="Q106" s="189">
        <v>0</v>
      </c>
      <c r="R106" s="190">
        <f t="shared" si="28"/>
        <v>-1269.3249011594205</v>
      </c>
    </row>
    <row r="107" spans="1:18" x14ac:dyDescent="0.25">
      <c r="A107" s="110">
        <v>4</v>
      </c>
      <c r="B107" s="181">
        <f t="shared" si="4"/>
        <v>45017</v>
      </c>
      <c r="C107" s="204">
        <f t="shared" si="32"/>
        <v>45049</v>
      </c>
      <c r="D107" s="204">
        <f t="shared" si="32"/>
        <v>45070</v>
      </c>
      <c r="E107" s="52" t="s">
        <v>19</v>
      </c>
      <c r="F107" s="221">
        <v>9</v>
      </c>
      <c r="G107" s="184">
        <v>62</v>
      </c>
      <c r="H107" s="185">
        <f t="shared" si="25"/>
        <v>2687.49</v>
      </c>
      <c r="I107" s="185">
        <f t="shared" si="20"/>
        <v>2669.98</v>
      </c>
      <c r="J107" s="186">
        <f t="shared" si="2"/>
        <v>165538.76</v>
      </c>
      <c r="K107" s="187">
        <f t="shared" si="30"/>
        <v>166624.37999999998</v>
      </c>
      <c r="L107" s="188">
        <f t="shared" ref="L107:L115" si="33">+J107-K107</f>
        <v>-1085.6199999999662</v>
      </c>
      <c r="M107" s="189">
        <f t="shared" si="26"/>
        <v>-88.979162266941458</v>
      </c>
      <c r="N107" s="190">
        <f t="shared" si="27"/>
        <v>-1174.5991622669078</v>
      </c>
      <c r="O107" s="189">
        <v>0</v>
      </c>
      <c r="P107" s="189">
        <v>0</v>
      </c>
      <c r="Q107" s="189">
        <v>0</v>
      </c>
      <c r="R107" s="190">
        <f t="shared" si="28"/>
        <v>-1174.5991622669078</v>
      </c>
    </row>
    <row r="108" spans="1:18" x14ac:dyDescent="0.25">
      <c r="A108" s="146">
        <v>5</v>
      </c>
      <c r="B108" s="181">
        <f t="shared" si="4"/>
        <v>45047</v>
      </c>
      <c r="C108" s="204">
        <f t="shared" si="32"/>
        <v>45082</v>
      </c>
      <c r="D108" s="204">
        <f t="shared" si="32"/>
        <v>45103</v>
      </c>
      <c r="E108" s="52" t="s">
        <v>19</v>
      </c>
      <c r="F108" s="221">
        <v>9</v>
      </c>
      <c r="G108" s="184">
        <v>51</v>
      </c>
      <c r="H108" s="185">
        <f t="shared" si="25"/>
        <v>2687.49</v>
      </c>
      <c r="I108" s="185">
        <f t="shared" ref="I108:I127" si="34">$J$3</f>
        <v>2669.98</v>
      </c>
      <c r="J108" s="186">
        <f t="shared" si="2"/>
        <v>136168.98000000001</v>
      </c>
      <c r="K108" s="187">
        <f t="shared" si="30"/>
        <v>137061.99</v>
      </c>
      <c r="L108" s="188">
        <f t="shared" si="33"/>
        <v>-893.00999999998021</v>
      </c>
      <c r="M108" s="189">
        <f t="shared" si="26"/>
        <v>-73.192536703451836</v>
      </c>
      <c r="N108" s="190">
        <f t="shared" si="27"/>
        <v>-966.20253670343209</v>
      </c>
      <c r="O108" s="189">
        <v>0</v>
      </c>
      <c r="P108" s="189">
        <v>0</v>
      </c>
      <c r="Q108" s="189">
        <v>0</v>
      </c>
      <c r="R108" s="190">
        <f t="shared" si="28"/>
        <v>-966.20253670343209</v>
      </c>
    </row>
    <row r="109" spans="1:18" x14ac:dyDescent="0.25">
      <c r="A109" s="146">
        <v>6</v>
      </c>
      <c r="B109" s="181">
        <f t="shared" ref="B109:B148" si="35">DATE($R$1,A109,1)</f>
        <v>45078</v>
      </c>
      <c r="C109" s="204">
        <f t="shared" si="32"/>
        <v>45112</v>
      </c>
      <c r="D109" s="204">
        <f t="shared" si="32"/>
        <v>45131</v>
      </c>
      <c r="E109" s="52" t="s">
        <v>19</v>
      </c>
      <c r="F109" s="221">
        <v>9</v>
      </c>
      <c r="G109" s="184">
        <v>67</v>
      </c>
      <c r="H109" s="185">
        <f t="shared" si="25"/>
        <v>2687.49</v>
      </c>
      <c r="I109" s="185">
        <f t="shared" si="34"/>
        <v>2669.98</v>
      </c>
      <c r="J109" s="186">
        <f t="shared" ref="J109:J148" si="36">+$G109*I109</f>
        <v>178888.66</v>
      </c>
      <c r="K109" s="187">
        <f t="shared" si="30"/>
        <v>180061.83</v>
      </c>
      <c r="L109" s="192">
        <f t="shared" si="33"/>
        <v>-1173.1699999999837</v>
      </c>
      <c r="M109" s="189">
        <f t="shared" si="26"/>
        <v>-96.154901159436747</v>
      </c>
      <c r="N109" s="190">
        <f t="shared" si="27"/>
        <v>-1269.3249011594205</v>
      </c>
      <c r="O109" s="189">
        <v>0</v>
      </c>
      <c r="P109" s="189">
        <v>0</v>
      </c>
      <c r="Q109" s="189">
        <v>0</v>
      </c>
      <c r="R109" s="190">
        <f t="shared" si="28"/>
        <v>-1269.3249011594205</v>
      </c>
    </row>
    <row r="110" spans="1:18" x14ac:dyDescent="0.25">
      <c r="A110" s="110">
        <v>7</v>
      </c>
      <c r="B110" s="181">
        <f t="shared" si="35"/>
        <v>45108</v>
      </c>
      <c r="C110" s="204">
        <f t="shared" si="32"/>
        <v>45141</v>
      </c>
      <c r="D110" s="204">
        <f t="shared" si="32"/>
        <v>45162</v>
      </c>
      <c r="E110" s="52" t="s">
        <v>19</v>
      </c>
      <c r="F110" s="221">
        <v>9</v>
      </c>
      <c r="G110" s="184">
        <v>66</v>
      </c>
      <c r="H110" s="185">
        <f t="shared" si="25"/>
        <v>2687.49</v>
      </c>
      <c r="I110" s="185">
        <f t="shared" si="34"/>
        <v>2669.98</v>
      </c>
      <c r="J110" s="186">
        <f t="shared" si="36"/>
        <v>176218.68</v>
      </c>
      <c r="K110" s="193">
        <f t="shared" si="30"/>
        <v>177374.34</v>
      </c>
      <c r="L110" s="192">
        <f t="shared" si="33"/>
        <v>-1155.6600000000035</v>
      </c>
      <c r="M110" s="189">
        <f t="shared" si="26"/>
        <v>-94.719753380937689</v>
      </c>
      <c r="N110" s="190">
        <f t="shared" si="27"/>
        <v>-1250.3797533809411</v>
      </c>
      <c r="O110" s="189">
        <v>0</v>
      </c>
      <c r="P110" s="189">
        <v>0</v>
      </c>
      <c r="Q110" s="189">
        <v>0</v>
      </c>
      <c r="R110" s="190">
        <f t="shared" si="28"/>
        <v>-1250.3797533809411</v>
      </c>
    </row>
    <row r="111" spans="1:18" x14ac:dyDescent="0.25">
      <c r="A111" s="146">
        <v>8</v>
      </c>
      <c r="B111" s="181">
        <f t="shared" si="35"/>
        <v>45139</v>
      </c>
      <c r="C111" s="204">
        <f t="shared" si="32"/>
        <v>45174</v>
      </c>
      <c r="D111" s="204">
        <f t="shared" si="32"/>
        <v>45194</v>
      </c>
      <c r="E111" s="52" t="s">
        <v>19</v>
      </c>
      <c r="F111" s="221">
        <v>9</v>
      </c>
      <c r="G111" s="184">
        <v>61</v>
      </c>
      <c r="H111" s="185">
        <f t="shared" si="25"/>
        <v>2687.49</v>
      </c>
      <c r="I111" s="185">
        <f t="shared" si="34"/>
        <v>2669.98</v>
      </c>
      <c r="J111" s="186">
        <f t="shared" si="36"/>
        <v>162868.78</v>
      </c>
      <c r="K111" s="193">
        <f t="shared" si="30"/>
        <v>163936.88999999998</v>
      </c>
      <c r="L111" s="192">
        <f t="shared" si="33"/>
        <v>-1068.109999999986</v>
      </c>
      <c r="M111" s="189">
        <f t="shared" si="26"/>
        <v>-87.5440144884424</v>
      </c>
      <c r="N111" s="190">
        <f t="shared" si="27"/>
        <v>-1155.6540144884284</v>
      </c>
      <c r="O111" s="189">
        <v>0</v>
      </c>
      <c r="P111" s="189">
        <v>0</v>
      </c>
      <c r="Q111" s="189">
        <v>0</v>
      </c>
      <c r="R111" s="190">
        <f t="shared" si="28"/>
        <v>-1155.6540144884284</v>
      </c>
    </row>
    <row r="112" spans="1:18" x14ac:dyDescent="0.25">
      <c r="A112" s="146">
        <v>9</v>
      </c>
      <c r="B112" s="181">
        <f t="shared" si="35"/>
        <v>45170</v>
      </c>
      <c r="C112" s="204">
        <f t="shared" si="32"/>
        <v>45203</v>
      </c>
      <c r="D112" s="204">
        <f t="shared" si="32"/>
        <v>45223</v>
      </c>
      <c r="E112" s="52" t="s">
        <v>19</v>
      </c>
      <c r="F112" s="221">
        <v>9</v>
      </c>
      <c r="G112" s="184">
        <v>55</v>
      </c>
      <c r="H112" s="185">
        <f t="shared" si="25"/>
        <v>2687.49</v>
      </c>
      <c r="I112" s="185">
        <f t="shared" si="34"/>
        <v>2669.98</v>
      </c>
      <c r="J112" s="186">
        <f t="shared" si="36"/>
        <v>146848.9</v>
      </c>
      <c r="K112" s="193">
        <f t="shared" si="30"/>
        <v>147811.94999999998</v>
      </c>
      <c r="L112" s="192">
        <f t="shared" si="33"/>
        <v>-963.04999999998836</v>
      </c>
      <c r="M112" s="189">
        <f t="shared" si="26"/>
        <v>-78.933127817448081</v>
      </c>
      <c r="N112" s="190">
        <f t="shared" si="27"/>
        <v>-1041.9831278174365</v>
      </c>
      <c r="O112" s="189">
        <v>0</v>
      </c>
      <c r="P112" s="189">
        <v>0</v>
      </c>
      <c r="Q112" s="189">
        <v>0</v>
      </c>
      <c r="R112" s="190">
        <f t="shared" si="28"/>
        <v>-1041.9831278174365</v>
      </c>
    </row>
    <row r="113" spans="1:18" x14ac:dyDescent="0.25">
      <c r="A113" s="110">
        <v>10</v>
      </c>
      <c r="B113" s="181">
        <f t="shared" si="35"/>
        <v>45200</v>
      </c>
      <c r="C113" s="204">
        <f t="shared" si="32"/>
        <v>45233</v>
      </c>
      <c r="D113" s="204">
        <f t="shared" si="32"/>
        <v>45254</v>
      </c>
      <c r="E113" s="52" t="s">
        <v>19</v>
      </c>
      <c r="F113" s="221">
        <v>9</v>
      </c>
      <c r="G113" s="184">
        <v>59</v>
      </c>
      <c r="H113" s="185">
        <f t="shared" si="25"/>
        <v>2687.49</v>
      </c>
      <c r="I113" s="185">
        <f t="shared" si="34"/>
        <v>2669.98</v>
      </c>
      <c r="J113" s="186">
        <f t="shared" si="36"/>
        <v>157528.82</v>
      </c>
      <c r="K113" s="193">
        <f t="shared" si="30"/>
        <v>158561.90999999997</v>
      </c>
      <c r="L113" s="192">
        <f t="shared" si="33"/>
        <v>-1033.0899999999674</v>
      </c>
      <c r="M113" s="189">
        <f t="shared" si="26"/>
        <v>-84.673718931444299</v>
      </c>
      <c r="N113" s="190">
        <f t="shared" si="27"/>
        <v>-1117.7637189314116</v>
      </c>
      <c r="O113" s="189">
        <v>0</v>
      </c>
      <c r="P113" s="189">
        <v>0</v>
      </c>
      <c r="Q113" s="189">
        <v>0</v>
      </c>
      <c r="R113" s="190">
        <f t="shared" si="28"/>
        <v>-1117.7637189314116</v>
      </c>
    </row>
    <row r="114" spans="1:18" x14ac:dyDescent="0.25">
      <c r="A114" s="146">
        <v>11</v>
      </c>
      <c r="B114" s="181">
        <f t="shared" si="35"/>
        <v>45231</v>
      </c>
      <c r="C114" s="204">
        <f t="shared" si="32"/>
        <v>45266</v>
      </c>
      <c r="D114" s="204">
        <f t="shared" si="32"/>
        <v>45285</v>
      </c>
      <c r="E114" s="52" t="s">
        <v>19</v>
      </c>
      <c r="F114" s="221">
        <v>9</v>
      </c>
      <c r="G114" s="184">
        <v>63</v>
      </c>
      <c r="H114" s="185">
        <f t="shared" si="25"/>
        <v>2687.49</v>
      </c>
      <c r="I114" s="185">
        <f t="shared" si="34"/>
        <v>2669.98</v>
      </c>
      <c r="J114" s="186">
        <f t="shared" si="36"/>
        <v>168208.74</v>
      </c>
      <c r="K114" s="193">
        <f t="shared" si="30"/>
        <v>169311.87</v>
      </c>
      <c r="L114" s="192">
        <f t="shared" si="33"/>
        <v>-1103.1300000000047</v>
      </c>
      <c r="M114" s="189">
        <f t="shared" si="26"/>
        <v>-90.414310045440516</v>
      </c>
      <c r="N114" s="190">
        <f t="shared" si="27"/>
        <v>-1193.5443100454452</v>
      </c>
      <c r="O114" s="189">
        <v>0</v>
      </c>
      <c r="P114" s="189">
        <v>0</v>
      </c>
      <c r="Q114" s="189">
        <v>0</v>
      </c>
      <c r="R114" s="190">
        <f t="shared" si="28"/>
        <v>-1193.5443100454452</v>
      </c>
    </row>
    <row r="115" spans="1:18" s="208" customFormat="1" x14ac:dyDescent="0.25">
      <c r="A115" s="146">
        <v>12</v>
      </c>
      <c r="B115" s="206">
        <f t="shared" si="35"/>
        <v>45261</v>
      </c>
      <c r="C115" s="209">
        <f t="shared" si="32"/>
        <v>45294</v>
      </c>
      <c r="D115" s="209">
        <f t="shared" si="32"/>
        <v>45315</v>
      </c>
      <c r="E115" s="207" t="s">
        <v>19</v>
      </c>
      <c r="F115" s="223">
        <v>9</v>
      </c>
      <c r="G115" s="184">
        <v>63</v>
      </c>
      <c r="H115" s="197">
        <f t="shared" si="25"/>
        <v>2687.49</v>
      </c>
      <c r="I115" s="197">
        <f t="shared" si="34"/>
        <v>2669.98</v>
      </c>
      <c r="J115" s="198">
        <f t="shared" si="36"/>
        <v>168208.74</v>
      </c>
      <c r="K115" s="199">
        <f t="shared" si="30"/>
        <v>169311.87</v>
      </c>
      <c r="L115" s="200">
        <f t="shared" si="33"/>
        <v>-1103.1300000000047</v>
      </c>
      <c r="M115" s="189">
        <f t="shared" si="26"/>
        <v>-90.414310045440516</v>
      </c>
      <c r="N115" s="190">
        <f t="shared" si="27"/>
        <v>-1193.5443100454452</v>
      </c>
      <c r="O115" s="189">
        <v>0</v>
      </c>
      <c r="P115" s="189">
        <v>0</v>
      </c>
      <c r="Q115" s="189">
        <v>0</v>
      </c>
      <c r="R115" s="190">
        <f t="shared" si="28"/>
        <v>-1193.5443100454452</v>
      </c>
    </row>
    <row r="116" spans="1:18" x14ac:dyDescent="0.25">
      <c r="A116" s="110">
        <v>1</v>
      </c>
      <c r="B116" s="181">
        <f t="shared" si="35"/>
        <v>44927</v>
      </c>
      <c r="C116" s="204">
        <f t="shared" si="32"/>
        <v>44960</v>
      </c>
      <c r="D116" s="204">
        <f t="shared" si="32"/>
        <v>44981</v>
      </c>
      <c r="E116" s="183" t="s">
        <v>13</v>
      </c>
      <c r="F116" s="133">
        <v>9</v>
      </c>
      <c r="G116" s="184">
        <v>967</v>
      </c>
      <c r="H116" s="185">
        <f t="shared" si="25"/>
        <v>2687.49</v>
      </c>
      <c r="I116" s="185">
        <f t="shared" si="34"/>
        <v>2669.98</v>
      </c>
      <c r="J116" s="186">
        <f t="shared" si="36"/>
        <v>2581870.66</v>
      </c>
      <c r="K116" s="187">
        <f t="shared" si="30"/>
        <v>2598802.8299999996</v>
      </c>
      <c r="L116" s="188">
        <f>+J116-K116</f>
        <v>-16932.16999999946</v>
      </c>
      <c r="M116" s="189">
        <f t="shared" si="26"/>
        <v>-1387.7879018085871</v>
      </c>
      <c r="N116" s="190">
        <f t="shared" si="27"/>
        <v>-18319.957901808048</v>
      </c>
      <c r="O116" s="189">
        <v>0</v>
      </c>
      <c r="P116" s="189">
        <v>0</v>
      </c>
      <c r="Q116" s="189">
        <v>0</v>
      </c>
      <c r="R116" s="190">
        <f t="shared" si="28"/>
        <v>-18319.957901808048</v>
      </c>
    </row>
    <row r="117" spans="1:18" x14ac:dyDescent="0.25">
      <c r="A117" s="146">
        <v>2</v>
      </c>
      <c r="B117" s="181">
        <f t="shared" si="35"/>
        <v>44958</v>
      </c>
      <c r="C117" s="204">
        <f t="shared" ref="C117:D139" si="37">+C105</f>
        <v>44988</v>
      </c>
      <c r="D117" s="204">
        <f t="shared" si="37"/>
        <v>45009</v>
      </c>
      <c r="E117" s="191" t="s">
        <v>13</v>
      </c>
      <c r="F117" s="221">
        <v>9</v>
      </c>
      <c r="G117" s="184">
        <v>955</v>
      </c>
      <c r="H117" s="185">
        <f t="shared" si="25"/>
        <v>2687.49</v>
      </c>
      <c r="I117" s="185">
        <f t="shared" si="34"/>
        <v>2669.98</v>
      </c>
      <c r="J117" s="186">
        <f t="shared" si="36"/>
        <v>2549830.9</v>
      </c>
      <c r="K117" s="187">
        <f t="shared" si="30"/>
        <v>2566552.9499999997</v>
      </c>
      <c r="L117" s="188">
        <f>+J117-K117</f>
        <v>-16722.049999999814</v>
      </c>
      <c r="M117" s="189">
        <f t="shared" si="26"/>
        <v>-1370.5661284665985</v>
      </c>
      <c r="N117" s="190">
        <f t="shared" si="27"/>
        <v>-18092.616128466412</v>
      </c>
      <c r="O117" s="189">
        <v>0</v>
      </c>
      <c r="P117" s="189">
        <v>0</v>
      </c>
      <c r="Q117" s="189">
        <v>0</v>
      </c>
      <c r="R117" s="190">
        <f t="shared" si="28"/>
        <v>-18092.616128466412</v>
      </c>
    </row>
    <row r="118" spans="1:18" x14ac:dyDescent="0.25">
      <c r="A118" s="146">
        <v>3</v>
      </c>
      <c r="B118" s="181">
        <f t="shared" si="35"/>
        <v>44986</v>
      </c>
      <c r="C118" s="204">
        <f t="shared" si="37"/>
        <v>45021</v>
      </c>
      <c r="D118" s="204">
        <f t="shared" si="37"/>
        <v>45040</v>
      </c>
      <c r="E118" s="191" t="s">
        <v>13</v>
      </c>
      <c r="F118" s="221">
        <v>9</v>
      </c>
      <c r="G118" s="184">
        <v>872</v>
      </c>
      <c r="H118" s="185">
        <f t="shared" si="25"/>
        <v>2687.49</v>
      </c>
      <c r="I118" s="185">
        <f t="shared" si="34"/>
        <v>2669.98</v>
      </c>
      <c r="J118" s="186">
        <f t="shared" si="36"/>
        <v>2328222.56</v>
      </c>
      <c r="K118" s="187">
        <f t="shared" si="30"/>
        <v>2343491.2799999998</v>
      </c>
      <c r="L118" s="188">
        <f>+J118-K118</f>
        <v>-15268.719999999739</v>
      </c>
      <c r="M118" s="189">
        <f t="shared" si="26"/>
        <v>-1251.4488628511767</v>
      </c>
      <c r="N118" s="190">
        <f t="shared" si="27"/>
        <v>-16520.168862850915</v>
      </c>
      <c r="O118" s="189">
        <v>0</v>
      </c>
      <c r="P118" s="189">
        <v>0</v>
      </c>
      <c r="Q118" s="189">
        <v>0</v>
      </c>
      <c r="R118" s="190">
        <f t="shared" si="28"/>
        <v>-16520.168862850915</v>
      </c>
    </row>
    <row r="119" spans="1:18" x14ac:dyDescent="0.25">
      <c r="A119" s="110">
        <v>4</v>
      </c>
      <c r="B119" s="181">
        <f t="shared" si="35"/>
        <v>45017</v>
      </c>
      <c r="C119" s="204">
        <f t="shared" si="37"/>
        <v>45049</v>
      </c>
      <c r="D119" s="204">
        <f t="shared" si="37"/>
        <v>45070</v>
      </c>
      <c r="E119" s="52" t="s">
        <v>13</v>
      </c>
      <c r="F119" s="221">
        <v>9</v>
      </c>
      <c r="G119" s="184">
        <v>602</v>
      </c>
      <c r="H119" s="185">
        <f t="shared" si="25"/>
        <v>2687.49</v>
      </c>
      <c r="I119" s="185">
        <f t="shared" si="34"/>
        <v>2669.98</v>
      </c>
      <c r="J119" s="186">
        <f t="shared" si="36"/>
        <v>1607327.96</v>
      </c>
      <c r="K119" s="187">
        <f t="shared" si="30"/>
        <v>1617868.98</v>
      </c>
      <c r="L119" s="188">
        <f t="shared" ref="L119:L127" si="38">+J119-K119</f>
        <v>-10541.020000000019</v>
      </c>
      <c r="M119" s="189">
        <f t="shared" si="26"/>
        <v>-863.95896265643159</v>
      </c>
      <c r="N119" s="190">
        <f t="shared" si="27"/>
        <v>-11404.978962656451</v>
      </c>
      <c r="O119" s="189">
        <v>0</v>
      </c>
      <c r="P119" s="189">
        <v>0</v>
      </c>
      <c r="Q119" s="189">
        <v>0</v>
      </c>
      <c r="R119" s="190">
        <f t="shared" si="28"/>
        <v>-11404.978962656451</v>
      </c>
    </row>
    <row r="120" spans="1:18" x14ac:dyDescent="0.25">
      <c r="A120" s="146">
        <v>5</v>
      </c>
      <c r="B120" s="181">
        <f t="shared" si="35"/>
        <v>45047</v>
      </c>
      <c r="C120" s="204">
        <f t="shared" si="37"/>
        <v>45082</v>
      </c>
      <c r="D120" s="204">
        <f t="shared" si="37"/>
        <v>45103</v>
      </c>
      <c r="E120" s="52" t="s">
        <v>13</v>
      </c>
      <c r="F120" s="221">
        <v>9</v>
      </c>
      <c r="G120" s="184">
        <v>711</v>
      </c>
      <c r="H120" s="185">
        <f t="shared" si="25"/>
        <v>2687.49</v>
      </c>
      <c r="I120" s="185">
        <f t="shared" si="34"/>
        <v>2669.98</v>
      </c>
      <c r="J120" s="186">
        <f t="shared" si="36"/>
        <v>1898355.78</v>
      </c>
      <c r="K120" s="187">
        <f t="shared" si="30"/>
        <v>1910805.39</v>
      </c>
      <c r="L120" s="188">
        <f t="shared" si="38"/>
        <v>-12449.60999999987</v>
      </c>
      <c r="M120" s="189">
        <f t="shared" si="26"/>
        <v>-1020.3900705128286</v>
      </c>
      <c r="N120" s="190">
        <f t="shared" si="27"/>
        <v>-13470.000070512699</v>
      </c>
      <c r="O120" s="189">
        <v>0</v>
      </c>
      <c r="P120" s="189">
        <v>0</v>
      </c>
      <c r="Q120" s="189">
        <v>0</v>
      </c>
      <c r="R120" s="190">
        <f t="shared" si="28"/>
        <v>-13470.000070512699</v>
      </c>
    </row>
    <row r="121" spans="1:18" x14ac:dyDescent="0.25">
      <c r="A121" s="146">
        <v>6</v>
      </c>
      <c r="B121" s="181">
        <f t="shared" si="35"/>
        <v>45078</v>
      </c>
      <c r="C121" s="204">
        <f t="shared" si="37"/>
        <v>45112</v>
      </c>
      <c r="D121" s="204">
        <f t="shared" si="37"/>
        <v>45131</v>
      </c>
      <c r="E121" s="52" t="s">
        <v>13</v>
      </c>
      <c r="F121" s="221">
        <v>9</v>
      </c>
      <c r="G121" s="184">
        <v>936</v>
      </c>
      <c r="H121" s="185">
        <f t="shared" si="25"/>
        <v>2687.49</v>
      </c>
      <c r="I121" s="185">
        <f t="shared" si="34"/>
        <v>2669.98</v>
      </c>
      <c r="J121" s="186">
        <f t="shared" si="36"/>
        <v>2499101.2799999998</v>
      </c>
      <c r="K121" s="187">
        <f t="shared" si="30"/>
        <v>2515490.6399999997</v>
      </c>
      <c r="L121" s="192">
        <f t="shared" si="38"/>
        <v>-16389.35999999987</v>
      </c>
      <c r="M121" s="189">
        <f t="shared" si="26"/>
        <v>-1343.2983206751164</v>
      </c>
      <c r="N121" s="190">
        <f t="shared" si="27"/>
        <v>-17732.658320674986</v>
      </c>
      <c r="O121" s="189">
        <v>0</v>
      </c>
      <c r="P121" s="189">
        <v>0</v>
      </c>
      <c r="Q121" s="189">
        <v>0</v>
      </c>
      <c r="R121" s="190">
        <f t="shared" si="28"/>
        <v>-17732.658320674986</v>
      </c>
    </row>
    <row r="122" spans="1:18" x14ac:dyDescent="0.25">
      <c r="A122" s="110">
        <v>7</v>
      </c>
      <c r="B122" s="181">
        <f t="shared" si="35"/>
        <v>45108</v>
      </c>
      <c r="C122" s="204">
        <f t="shared" si="37"/>
        <v>45141</v>
      </c>
      <c r="D122" s="204">
        <f t="shared" si="37"/>
        <v>45162</v>
      </c>
      <c r="E122" s="52" t="s">
        <v>13</v>
      </c>
      <c r="F122" s="221">
        <v>9</v>
      </c>
      <c r="G122" s="184">
        <v>932</v>
      </c>
      <c r="H122" s="185">
        <f t="shared" si="25"/>
        <v>2687.49</v>
      </c>
      <c r="I122" s="185">
        <f t="shared" si="34"/>
        <v>2669.98</v>
      </c>
      <c r="J122" s="186">
        <f t="shared" si="36"/>
        <v>2488421.36</v>
      </c>
      <c r="K122" s="193">
        <f t="shared" si="30"/>
        <v>2504740.6799999997</v>
      </c>
      <c r="L122" s="192">
        <f t="shared" si="38"/>
        <v>-16319.319999999832</v>
      </c>
      <c r="M122" s="189">
        <f t="shared" si="26"/>
        <v>-1337.5577295611201</v>
      </c>
      <c r="N122" s="190">
        <f t="shared" si="27"/>
        <v>-17656.877729560954</v>
      </c>
      <c r="O122" s="189">
        <v>0</v>
      </c>
      <c r="P122" s="189">
        <v>0</v>
      </c>
      <c r="Q122" s="189">
        <v>0</v>
      </c>
      <c r="R122" s="190">
        <f t="shared" si="28"/>
        <v>-17656.877729560954</v>
      </c>
    </row>
    <row r="123" spans="1:18" x14ac:dyDescent="0.25">
      <c r="A123" s="146">
        <v>8</v>
      </c>
      <c r="B123" s="181">
        <f t="shared" si="35"/>
        <v>45139</v>
      </c>
      <c r="C123" s="204">
        <f t="shared" si="37"/>
        <v>45174</v>
      </c>
      <c r="D123" s="204">
        <f t="shared" si="37"/>
        <v>45194</v>
      </c>
      <c r="E123" s="52" t="s">
        <v>13</v>
      </c>
      <c r="F123" s="221">
        <v>9</v>
      </c>
      <c r="G123" s="184">
        <v>1025</v>
      </c>
      <c r="H123" s="185">
        <f t="shared" si="25"/>
        <v>2687.49</v>
      </c>
      <c r="I123" s="185">
        <f t="shared" si="34"/>
        <v>2669.98</v>
      </c>
      <c r="J123" s="186">
        <f t="shared" si="36"/>
        <v>2736729.5</v>
      </c>
      <c r="K123" s="193">
        <f t="shared" si="30"/>
        <v>2754677.25</v>
      </c>
      <c r="L123" s="192">
        <f t="shared" si="38"/>
        <v>-17947.75</v>
      </c>
      <c r="M123" s="189">
        <f t="shared" si="26"/>
        <v>-1471.0264729615321</v>
      </c>
      <c r="N123" s="190">
        <f t="shared" si="27"/>
        <v>-19418.776472961534</v>
      </c>
      <c r="O123" s="189">
        <v>0</v>
      </c>
      <c r="P123" s="189">
        <v>0</v>
      </c>
      <c r="Q123" s="189">
        <v>0</v>
      </c>
      <c r="R123" s="190">
        <f t="shared" si="28"/>
        <v>-19418.776472961534</v>
      </c>
    </row>
    <row r="124" spans="1:18" x14ac:dyDescent="0.25">
      <c r="A124" s="146">
        <v>9</v>
      </c>
      <c r="B124" s="181">
        <f t="shared" si="35"/>
        <v>45170</v>
      </c>
      <c r="C124" s="204">
        <f t="shared" si="37"/>
        <v>45203</v>
      </c>
      <c r="D124" s="204">
        <f t="shared" si="37"/>
        <v>45223</v>
      </c>
      <c r="E124" s="52" t="s">
        <v>13</v>
      </c>
      <c r="F124" s="221">
        <v>9</v>
      </c>
      <c r="G124" s="184">
        <v>934</v>
      </c>
      <c r="H124" s="185">
        <f t="shared" si="25"/>
        <v>2687.49</v>
      </c>
      <c r="I124" s="185">
        <f t="shared" si="34"/>
        <v>2669.98</v>
      </c>
      <c r="J124" s="186">
        <f t="shared" si="36"/>
        <v>2493761.3199999998</v>
      </c>
      <c r="K124" s="193">
        <f t="shared" si="30"/>
        <v>2510115.6599999997</v>
      </c>
      <c r="L124" s="192">
        <f t="shared" si="38"/>
        <v>-16354.339999999851</v>
      </c>
      <c r="M124" s="189">
        <f t="shared" si="26"/>
        <v>-1340.4280251181181</v>
      </c>
      <c r="N124" s="190">
        <f t="shared" si="27"/>
        <v>-17694.76802511797</v>
      </c>
      <c r="O124" s="189">
        <v>0</v>
      </c>
      <c r="P124" s="189">
        <v>0</v>
      </c>
      <c r="Q124" s="189">
        <v>0</v>
      </c>
      <c r="R124" s="190">
        <f t="shared" si="28"/>
        <v>-17694.76802511797</v>
      </c>
    </row>
    <row r="125" spans="1:18" x14ac:dyDescent="0.25">
      <c r="A125" s="110">
        <v>10</v>
      </c>
      <c r="B125" s="181">
        <f t="shared" si="35"/>
        <v>45200</v>
      </c>
      <c r="C125" s="204">
        <f t="shared" si="37"/>
        <v>45233</v>
      </c>
      <c r="D125" s="204">
        <f t="shared" si="37"/>
        <v>45254</v>
      </c>
      <c r="E125" s="52" t="s">
        <v>13</v>
      </c>
      <c r="F125" s="221">
        <v>9</v>
      </c>
      <c r="G125" s="184">
        <v>700</v>
      </c>
      <c r="H125" s="185">
        <f t="shared" si="25"/>
        <v>2687.49</v>
      </c>
      <c r="I125" s="185">
        <f t="shared" si="34"/>
        <v>2669.98</v>
      </c>
      <c r="J125" s="186">
        <f t="shared" si="36"/>
        <v>1868986</v>
      </c>
      <c r="K125" s="193">
        <f t="shared" si="30"/>
        <v>1881242.9999999998</v>
      </c>
      <c r="L125" s="192">
        <f t="shared" si="38"/>
        <v>-12256.999999999767</v>
      </c>
      <c r="M125" s="189">
        <f t="shared" si="26"/>
        <v>-1004.6034449493391</v>
      </c>
      <c r="N125" s="190">
        <f t="shared" si="27"/>
        <v>-13261.603444949105</v>
      </c>
      <c r="O125" s="189">
        <v>0</v>
      </c>
      <c r="P125" s="189">
        <v>0</v>
      </c>
      <c r="Q125" s="189">
        <v>0</v>
      </c>
      <c r="R125" s="190">
        <f t="shared" si="28"/>
        <v>-13261.603444949105</v>
      </c>
    </row>
    <row r="126" spans="1:18" x14ac:dyDescent="0.25">
      <c r="A126" s="146">
        <v>11</v>
      </c>
      <c r="B126" s="181">
        <f t="shared" si="35"/>
        <v>45231</v>
      </c>
      <c r="C126" s="204">
        <f t="shared" si="37"/>
        <v>45266</v>
      </c>
      <c r="D126" s="204">
        <f t="shared" si="37"/>
        <v>45285</v>
      </c>
      <c r="E126" s="52" t="s">
        <v>13</v>
      </c>
      <c r="F126" s="221">
        <v>9</v>
      </c>
      <c r="G126" s="184">
        <v>867</v>
      </c>
      <c r="H126" s="185">
        <f t="shared" si="25"/>
        <v>2687.49</v>
      </c>
      <c r="I126" s="185">
        <f t="shared" si="34"/>
        <v>2669.98</v>
      </c>
      <c r="J126" s="186">
        <f t="shared" si="36"/>
        <v>2314872.66</v>
      </c>
      <c r="K126" s="193">
        <f t="shared" si="30"/>
        <v>2330053.8299999996</v>
      </c>
      <c r="L126" s="192">
        <f t="shared" si="38"/>
        <v>-15181.16999999946</v>
      </c>
      <c r="M126" s="189">
        <f t="shared" si="26"/>
        <v>-1244.2731239586815</v>
      </c>
      <c r="N126" s="190">
        <f t="shared" si="27"/>
        <v>-16425.443123958143</v>
      </c>
      <c r="O126" s="189">
        <v>0</v>
      </c>
      <c r="P126" s="189">
        <v>0</v>
      </c>
      <c r="Q126" s="189">
        <v>0</v>
      </c>
      <c r="R126" s="190">
        <f t="shared" si="28"/>
        <v>-16425.443123958143</v>
      </c>
    </row>
    <row r="127" spans="1:18" s="208" customFormat="1" x14ac:dyDescent="0.25">
      <c r="A127" s="146">
        <v>12</v>
      </c>
      <c r="B127" s="206">
        <f t="shared" si="35"/>
        <v>45261</v>
      </c>
      <c r="C127" s="209">
        <f t="shared" si="37"/>
        <v>45294</v>
      </c>
      <c r="D127" s="209">
        <f t="shared" si="37"/>
        <v>45315</v>
      </c>
      <c r="E127" s="207" t="s">
        <v>13</v>
      </c>
      <c r="F127" s="223">
        <v>9</v>
      </c>
      <c r="G127" s="196">
        <v>916</v>
      </c>
      <c r="H127" s="197">
        <f t="shared" si="25"/>
        <v>2687.49</v>
      </c>
      <c r="I127" s="197">
        <f t="shared" si="34"/>
        <v>2669.98</v>
      </c>
      <c r="J127" s="198">
        <f t="shared" si="36"/>
        <v>2445701.6800000002</v>
      </c>
      <c r="K127" s="199">
        <f t="shared" si="30"/>
        <v>2461740.84</v>
      </c>
      <c r="L127" s="200">
        <f t="shared" si="38"/>
        <v>-16039.159999999683</v>
      </c>
      <c r="M127" s="189">
        <f t="shared" si="26"/>
        <v>-1314.5953651051352</v>
      </c>
      <c r="N127" s="190">
        <f t="shared" si="27"/>
        <v>-17353.755365104818</v>
      </c>
      <c r="O127" s="189">
        <v>0</v>
      </c>
      <c r="P127" s="189">
        <v>0</v>
      </c>
      <c r="Q127" s="189">
        <v>0</v>
      </c>
      <c r="R127" s="190">
        <f t="shared" si="28"/>
        <v>-17353.755365104818</v>
      </c>
    </row>
    <row r="128" spans="1:18" x14ac:dyDescent="0.25">
      <c r="A128" s="110">
        <v>1</v>
      </c>
      <c r="B128" s="181">
        <f t="shared" si="35"/>
        <v>44927</v>
      </c>
      <c r="C128" s="204">
        <f t="shared" si="37"/>
        <v>44960</v>
      </c>
      <c r="D128" s="204">
        <f t="shared" si="37"/>
        <v>44981</v>
      </c>
      <c r="E128" s="183" t="s">
        <v>15</v>
      </c>
      <c r="F128" s="133">
        <v>9</v>
      </c>
      <c r="G128" s="184">
        <v>6</v>
      </c>
      <c r="H128" s="185">
        <f t="shared" si="25"/>
        <v>2687.49</v>
      </c>
      <c r="I128" s="185">
        <f t="shared" ref="I128:I147" si="39">$J$3</f>
        <v>2669.98</v>
      </c>
      <c r="J128" s="186">
        <f t="shared" si="36"/>
        <v>16019.880000000001</v>
      </c>
      <c r="K128" s="187">
        <f t="shared" si="30"/>
        <v>16124.939999999999</v>
      </c>
      <c r="L128" s="188">
        <f>+J128-K128</f>
        <v>-105.05999999999767</v>
      </c>
      <c r="M128" s="189">
        <f t="shared" si="26"/>
        <v>-8.6108866709943346</v>
      </c>
      <c r="N128" s="190">
        <f t="shared" si="27"/>
        <v>-113.670886670992</v>
      </c>
      <c r="O128" s="189">
        <v>0</v>
      </c>
      <c r="P128" s="189">
        <v>0</v>
      </c>
      <c r="Q128" s="189">
        <v>0</v>
      </c>
      <c r="R128" s="190">
        <f t="shared" si="28"/>
        <v>-113.670886670992</v>
      </c>
    </row>
    <row r="129" spans="1:18" x14ac:dyDescent="0.25">
      <c r="A129" s="146">
        <v>2</v>
      </c>
      <c r="B129" s="181">
        <f t="shared" si="35"/>
        <v>44958</v>
      </c>
      <c r="C129" s="204">
        <f t="shared" si="37"/>
        <v>44988</v>
      </c>
      <c r="D129" s="204">
        <f t="shared" si="37"/>
        <v>45009</v>
      </c>
      <c r="E129" s="191" t="s">
        <v>15</v>
      </c>
      <c r="F129" s="221">
        <v>9</v>
      </c>
      <c r="G129" s="184">
        <v>5</v>
      </c>
      <c r="H129" s="185">
        <f t="shared" si="25"/>
        <v>2687.49</v>
      </c>
      <c r="I129" s="185">
        <f t="shared" si="39"/>
        <v>2669.98</v>
      </c>
      <c r="J129" s="186">
        <f t="shared" si="36"/>
        <v>13349.9</v>
      </c>
      <c r="K129" s="187">
        <f t="shared" si="30"/>
        <v>13437.449999999999</v>
      </c>
      <c r="L129" s="188">
        <f>+J129-K129</f>
        <v>-87.549999999999272</v>
      </c>
      <c r="M129" s="189">
        <f t="shared" si="26"/>
        <v>-7.1757388924952794</v>
      </c>
      <c r="N129" s="190">
        <f t="shared" si="27"/>
        <v>-94.725738892494547</v>
      </c>
      <c r="O129" s="189">
        <v>0</v>
      </c>
      <c r="P129" s="189">
        <v>0</v>
      </c>
      <c r="Q129" s="189">
        <v>0</v>
      </c>
      <c r="R129" s="190">
        <f t="shared" si="28"/>
        <v>-94.725738892494547</v>
      </c>
    </row>
    <row r="130" spans="1:18" x14ac:dyDescent="0.25">
      <c r="A130" s="146">
        <v>3</v>
      </c>
      <c r="B130" s="181">
        <f t="shared" si="35"/>
        <v>44986</v>
      </c>
      <c r="C130" s="204">
        <f t="shared" si="37"/>
        <v>45021</v>
      </c>
      <c r="D130" s="204">
        <f t="shared" si="37"/>
        <v>45040</v>
      </c>
      <c r="E130" s="191" t="s">
        <v>15</v>
      </c>
      <c r="F130" s="221">
        <v>9</v>
      </c>
      <c r="G130" s="184">
        <v>5</v>
      </c>
      <c r="H130" s="185">
        <f t="shared" si="25"/>
        <v>2687.49</v>
      </c>
      <c r="I130" s="185">
        <f t="shared" si="39"/>
        <v>2669.98</v>
      </c>
      <c r="J130" s="186">
        <f t="shared" si="36"/>
        <v>13349.9</v>
      </c>
      <c r="K130" s="187">
        <f t="shared" si="30"/>
        <v>13437.449999999999</v>
      </c>
      <c r="L130" s="188">
        <f>+J130-K130</f>
        <v>-87.549999999999272</v>
      </c>
      <c r="M130" s="189">
        <f t="shared" si="26"/>
        <v>-7.1757388924952794</v>
      </c>
      <c r="N130" s="190">
        <f t="shared" si="27"/>
        <v>-94.725738892494547</v>
      </c>
      <c r="O130" s="189">
        <v>0</v>
      </c>
      <c r="P130" s="189">
        <v>0</v>
      </c>
      <c r="Q130" s="189">
        <v>0</v>
      </c>
      <c r="R130" s="190">
        <f t="shared" si="28"/>
        <v>-94.725738892494547</v>
      </c>
    </row>
    <row r="131" spans="1:18" x14ac:dyDescent="0.25">
      <c r="A131" s="110">
        <v>4</v>
      </c>
      <c r="B131" s="181">
        <f t="shared" si="35"/>
        <v>45017</v>
      </c>
      <c r="C131" s="204">
        <f t="shared" si="37"/>
        <v>45049</v>
      </c>
      <c r="D131" s="204">
        <f t="shared" si="37"/>
        <v>45070</v>
      </c>
      <c r="E131" s="191" t="s">
        <v>15</v>
      </c>
      <c r="F131" s="221">
        <v>9</v>
      </c>
      <c r="G131" s="184">
        <v>7</v>
      </c>
      <c r="H131" s="185">
        <f t="shared" si="25"/>
        <v>2687.49</v>
      </c>
      <c r="I131" s="185">
        <f t="shared" si="39"/>
        <v>2669.98</v>
      </c>
      <c r="J131" s="186">
        <f t="shared" si="36"/>
        <v>18689.86</v>
      </c>
      <c r="K131" s="187">
        <f t="shared" si="30"/>
        <v>18812.43</v>
      </c>
      <c r="L131" s="188">
        <f t="shared" ref="L131:L141" si="40">+J131-K131</f>
        <v>-122.56999999999971</v>
      </c>
      <c r="M131" s="189">
        <f t="shared" si="26"/>
        <v>-10.046034449493391</v>
      </c>
      <c r="N131" s="190">
        <f t="shared" si="27"/>
        <v>-132.6160344494931</v>
      </c>
      <c r="O131" s="189">
        <v>0</v>
      </c>
      <c r="P131" s="189">
        <v>0</v>
      </c>
      <c r="Q131" s="189">
        <v>0</v>
      </c>
      <c r="R131" s="190">
        <f t="shared" si="28"/>
        <v>-132.6160344494931</v>
      </c>
    </row>
    <row r="132" spans="1:18" x14ac:dyDescent="0.25">
      <c r="A132" s="146">
        <v>5</v>
      </c>
      <c r="B132" s="181">
        <f t="shared" si="35"/>
        <v>45047</v>
      </c>
      <c r="C132" s="204">
        <f t="shared" si="37"/>
        <v>45082</v>
      </c>
      <c r="D132" s="204">
        <f t="shared" si="37"/>
        <v>45103</v>
      </c>
      <c r="E132" s="52" t="s">
        <v>15</v>
      </c>
      <c r="F132" s="221">
        <v>9</v>
      </c>
      <c r="G132" s="184">
        <v>4</v>
      </c>
      <c r="H132" s="185">
        <f t="shared" si="25"/>
        <v>2687.49</v>
      </c>
      <c r="I132" s="185">
        <f t="shared" si="39"/>
        <v>2669.98</v>
      </c>
      <c r="J132" s="186">
        <f t="shared" si="36"/>
        <v>10679.92</v>
      </c>
      <c r="K132" s="187">
        <f t="shared" si="30"/>
        <v>10749.96</v>
      </c>
      <c r="L132" s="188">
        <f t="shared" si="40"/>
        <v>-70.039999999999054</v>
      </c>
      <c r="M132" s="189">
        <f t="shared" si="26"/>
        <v>-5.7405911139962225</v>
      </c>
      <c r="N132" s="190">
        <f t="shared" si="27"/>
        <v>-75.780591113995271</v>
      </c>
      <c r="O132" s="189">
        <v>0</v>
      </c>
      <c r="P132" s="189">
        <v>0</v>
      </c>
      <c r="Q132" s="189">
        <v>0</v>
      </c>
      <c r="R132" s="190">
        <f t="shared" si="28"/>
        <v>-75.780591113995271</v>
      </c>
    </row>
    <row r="133" spans="1:18" x14ac:dyDescent="0.25">
      <c r="A133" s="146">
        <v>6</v>
      </c>
      <c r="B133" s="181">
        <f t="shared" si="35"/>
        <v>45078</v>
      </c>
      <c r="C133" s="204">
        <f t="shared" si="37"/>
        <v>45112</v>
      </c>
      <c r="D133" s="204">
        <f t="shared" si="37"/>
        <v>45131</v>
      </c>
      <c r="E133" s="52" t="s">
        <v>15</v>
      </c>
      <c r="F133" s="221">
        <v>9</v>
      </c>
      <c r="G133" s="184">
        <v>14</v>
      </c>
      <c r="H133" s="185">
        <f t="shared" si="25"/>
        <v>2687.49</v>
      </c>
      <c r="I133" s="185">
        <f t="shared" si="39"/>
        <v>2669.98</v>
      </c>
      <c r="J133" s="186">
        <f t="shared" si="36"/>
        <v>37379.72</v>
      </c>
      <c r="K133" s="187">
        <f t="shared" si="30"/>
        <v>37624.86</v>
      </c>
      <c r="L133" s="192">
        <f t="shared" si="40"/>
        <v>-245.13999999999942</v>
      </c>
      <c r="M133" s="189">
        <f t="shared" si="26"/>
        <v>-20.092068898986781</v>
      </c>
      <c r="N133" s="190">
        <f t="shared" si="27"/>
        <v>-265.2320688989862</v>
      </c>
      <c r="O133" s="189">
        <v>0</v>
      </c>
      <c r="P133" s="189">
        <v>0</v>
      </c>
      <c r="Q133" s="189">
        <v>0</v>
      </c>
      <c r="R133" s="190">
        <f t="shared" si="28"/>
        <v>-265.2320688989862</v>
      </c>
    </row>
    <row r="134" spans="1:18" x14ac:dyDescent="0.25">
      <c r="A134" s="110">
        <v>7</v>
      </c>
      <c r="B134" s="181">
        <f t="shared" si="35"/>
        <v>45108</v>
      </c>
      <c r="C134" s="204">
        <f t="shared" si="37"/>
        <v>45141</v>
      </c>
      <c r="D134" s="204">
        <f t="shared" si="37"/>
        <v>45162</v>
      </c>
      <c r="E134" s="52" t="s">
        <v>15</v>
      </c>
      <c r="F134" s="221">
        <v>9</v>
      </c>
      <c r="G134" s="184">
        <v>13</v>
      </c>
      <c r="H134" s="185">
        <f t="shared" si="25"/>
        <v>2687.49</v>
      </c>
      <c r="I134" s="185">
        <f t="shared" si="39"/>
        <v>2669.98</v>
      </c>
      <c r="J134" s="186">
        <f t="shared" si="36"/>
        <v>34709.74</v>
      </c>
      <c r="K134" s="193">
        <f t="shared" ref="K134:K197" si="41">+$G134*H134</f>
        <v>34937.369999999995</v>
      </c>
      <c r="L134" s="192">
        <f t="shared" si="40"/>
        <v>-227.62999999999738</v>
      </c>
      <c r="M134" s="189">
        <f t="shared" si="26"/>
        <v>-18.656921120487723</v>
      </c>
      <c r="N134" s="190">
        <f t="shared" si="27"/>
        <v>-246.28692112048509</v>
      </c>
      <c r="O134" s="189">
        <v>0</v>
      </c>
      <c r="P134" s="189">
        <v>0</v>
      </c>
      <c r="Q134" s="189">
        <v>0</v>
      </c>
      <c r="R134" s="190">
        <f t="shared" si="28"/>
        <v>-246.28692112048509</v>
      </c>
    </row>
    <row r="135" spans="1:18" x14ac:dyDescent="0.25">
      <c r="A135" s="146">
        <v>8</v>
      </c>
      <c r="B135" s="181">
        <f t="shared" si="35"/>
        <v>45139</v>
      </c>
      <c r="C135" s="204">
        <f t="shared" si="37"/>
        <v>45174</v>
      </c>
      <c r="D135" s="204">
        <f t="shared" si="37"/>
        <v>45194</v>
      </c>
      <c r="E135" s="52" t="s">
        <v>15</v>
      </c>
      <c r="F135" s="221">
        <v>9</v>
      </c>
      <c r="G135" s="184">
        <v>19</v>
      </c>
      <c r="H135" s="185">
        <f t="shared" si="25"/>
        <v>2687.49</v>
      </c>
      <c r="I135" s="185">
        <f t="shared" si="39"/>
        <v>2669.98</v>
      </c>
      <c r="J135" s="186">
        <f t="shared" si="36"/>
        <v>50729.62</v>
      </c>
      <c r="K135" s="193">
        <f t="shared" si="41"/>
        <v>51062.31</v>
      </c>
      <c r="L135" s="192">
        <f t="shared" si="40"/>
        <v>-332.68999999999505</v>
      </c>
      <c r="M135" s="189">
        <f t="shared" si="26"/>
        <v>-27.267807791482063</v>
      </c>
      <c r="N135" s="190">
        <f t="shared" si="27"/>
        <v>-359.95780779147714</v>
      </c>
      <c r="O135" s="189">
        <v>0</v>
      </c>
      <c r="P135" s="189">
        <v>0</v>
      </c>
      <c r="Q135" s="189">
        <v>0</v>
      </c>
      <c r="R135" s="190">
        <f t="shared" si="28"/>
        <v>-359.95780779147714</v>
      </c>
    </row>
    <row r="136" spans="1:18" x14ac:dyDescent="0.25">
      <c r="A136" s="146">
        <v>9</v>
      </c>
      <c r="B136" s="181">
        <f t="shared" si="35"/>
        <v>45170</v>
      </c>
      <c r="C136" s="204">
        <f t="shared" si="37"/>
        <v>45203</v>
      </c>
      <c r="D136" s="204">
        <f t="shared" si="37"/>
        <v>45223</v>
      </c>
      <c r="E136" s="52" t="s">
        <v>15</v>
      </c>
      <c r="F136" s="221">
        <v>9</v>
      </c>
      <c r="G136" s="184">
        <v>18</v>
      </c>
      <c r="H136" s="185">
        <f t="shared" si="25"/>
        <v>2687.49</v>
      </c>
      <c r="I136" s="185">
        <f t="shared" si="39"/>
        <v>2669.98</v>
      </c>
      <c r="J136" s="186">
        <f t="shared" si="36"/>
        <v>48059.64</v>
      </c>
      <c r="K136" s="193">
        <f t="shared" si="41"/>
        <v>48374.819999999992</v>
      </c>
      <c r="L136" s="192">
        <f t="shared" si="40"/>
        <v>-315.17999999999302</v>
      </c>
      <c r="M136" s="189">
        <f t="shared" si="26"/>
        <v>-25.832660012983006</v>
      </c>
      <c r="N136" s="190">
        <f t="shared" si="27"/>
        <v>-341.01266001297603</v>
      </c>
      <c r="O136" s="189">
        <v>0</v>
      </c>
      <c r="P136" s="189">
        <v>0</v>
      </c>
      <c r="Q136" s="189">
        <v>0</v>
      </c>
      <c r="R136" s="190">
        <f t="shared" si="28"/>
        <v>-341.01266001297603</v>
      </c>
    </row>
    <row r="137" spans="1:18" x14ac:dyDescent="0.25">
      <c r="A137" s="110">
        <v>10</v>
      </c>
      <c r="B137" s="181">
        <f t="shared" si="35"/>
        <v>45200</v>
      </c>
      <c r="C137" s="204">
        <f t="shared" si="37"/>
        <v>45233</v>
      </c>
      <c r="D137" s="204">
        <f t="shared" si="37"/>
        <v>45254</v>
      </c>
      <c r="E137" s="52" t="s">
        <v>15</v>
      </c>
      <c r="F137" s="221">
        <v>9</v>
      </c>
      <c r="G137" s="184">
        <v>6</v>
      </c>
      <c r="H137" s="185">
        <f t="shared" si="25"/>
        <v>2687.49</v>
      </c>
      <c r="I137" s="185">
        <f t="shared" si="39"/>
        <v>2669.98</v>
      </c>
      <c r="J137" s="186">
        <f t="shared" si="36"/>
        <v>16019.880000000001</v>
      </c>
      <c r="K137" s="193">
        <f t="shared" si="41"/>
        <v>16124.939999999999</v>
      </c>
      <c r="L137" s="192">
        <f t="shared" si="40"/>
        <v>-105.05999999999767</v>
      </c>
      <c r="M137" s="189">
        <f t="shared" si="26"/>
        <v>-8.6108866709943346</v>
      </c>
      <c r="N137" s="190">
        <f t="shared" si="27"/>
        <v>-113.670886670992</v>
      </c>
      <c r="O137" s="189">
        <v>0</v>
      </c>
      <c r="P137" s="189">
        <v>0</v>
      </c>
      <c r="Q137" s="189">
        <v>0</v>
      </c>
      <c r="R137" s="190">
        <f t="shared" si="28"/>
        <v>-113.670886670992</v>
      </c>
    </row>
    <row r="138" spans="1:18" x14ac:dyDescent="0.25">
      <c r="A138" s="146">
        <v>11</v>
      </c>
      <c r="B138" s="181">
        <f t="shared" si="35"/>
        <v>45231</v>
      </c>
      <c r="C138" s="204">
        <f t="shared" si="37"/>
        <v>45266</v>
      </c>
      <c r="D138" s="204">
        <f t="shared" si="37"/>
        <v>45285</v>
      </c>
      <c r="E138" s="52" t="s">
        <v>15</v>
      </c>
      <c r="F138" s="221">
        <v>9</v>
      </c>
      <c r="G138" s="184">
        <v>6</v>
      </c>
      <c r="H138" s="185">
        <f t="shared" si="25"/>
        <v>2687.49</v>
      </c>
      <c r="I138" s="185">
        <f t="shared" si="39"/>
        <v>2669.98</v>
      </c>
      <c r="J138" s="186">
        <f t="shared" si="36"/>
        <v>16019.880000000001</v>
      </c>
      <c r="K138" s="193">
        <f t="shared" si="41"/>
        <v>16124.939999999999</v>
      </c>
      <c r="L138" s="192">
        <f t="shared" si="40"/>
        <v>-105.05999999999767</v>
      </c>
      <c r="M138" s="189">
        <f t="shared" si="26"/>
        <v>-8.6108866709943346</v>
      </c>
      <c r="N138" s="190">
        <f t="shared" si="27"/>
        <v>-113.670886670992</v>
      </c>
      <c r="O138" s="189">
        <v>0</v>
      </c>
      <c r="P138" s="189">
        <v>0</v>
      </c>
      <c r="Q138" s="189">
        <v>0</v>
      </c>
      <c r="R138" s="190">
        <f t="shared" si="28"/>
        <v>-113.670886670992</v>
      </c>
    </row>
    <row r="139" spans="1:18" s="208" customFormat="1" x14ac:dyDescent="0.25">
      <c r="A139" s="146">
        <v>12</v>
      </c>
      <c r="B139" s="206">
        <f t="shared" si="35"/>
        <v>45261</v>
      </c>
      <c r="C139" s="204">
        <f t="shared" si="37"/>
        <v>45294</v>
      </c>
      <c r="D139" s="204">
        <f t="shared" si="37"/>
        <v>45315</v>
      </c>
      <c r="E139" s="207" t="s">
        <v>15</v>
      </c>
      <c r="F139" s="223">
        <v>9</v>
      </c>
      <c r="G139" s="196">
        <v>5</v>
      </c>
      <c r="H139" s="197">
        <f t="shared" si="25"/>
        <v>2687.49</v>
      </c>
      <c r="I139" s="197">
        <f t="shared" si="39"/>
        <v>2669.98</v>
      </c>
      <c r="J139" s="198">
        <f t="shared" si="36"/>
        <v>13349.9</v>
      </c>
      <c r="K139" s="199">
        <f t="shared" si="41"/>
        <v>13437.449999999999</v>
      </c>
      <c r="L139" s="200">
        <f t="shared" si="40"/>
        <v>-87.549999999999272</v>
      </c>
      <c r="M139" s="189">
        <f t="shared" si="26"/>
        <v>-7.1757388924952794</v>
      </c>
      <c r="N139" s="190">
        <f t="shared" si="27"/>
        <v>-94.725738892494547</v>
      </c>
      <c r="O139" s="189">
        <v>0</v>
      </c>
      <c r="P139" s="189">
        <v>0</v>
      </c>
      <c r="Q139" s="189">
        <v>0</v>
      </c>
      <c r="R139" s="190">
        <f t="shared" si="28"/>
        <v>-94.725738892494547</v>
      </c>
    </row>
    <row r="140" spans="1:18" x14ac:dyDescent="0.25">
      <c r="A140" s="110">
        <v>1</v>
      </c>
      <c r="B140" s="181">
        <f t="shared" si="35"/>
        <v>44927</v>
      </c>
      <c r="C140" s="202">
        <f t="shared" ref="C140:D151" si="42">+C128</f>
        <v>44960</v>
      </c>
      <c r="D140" s="202">
        <f t="shared" si="42"/>
        <v>44981</v>
      </c>
      <c r="E140" s="211" t="s">
        <v>16</v>
      </c>
      <c r="F140" s="221">
        <v>9</v>
      </c>
      <c r="G140" s="184">
        <v>4</v>
      </c>
      <c r="H140" s="185">
        <f t="shared" si="25"/>
        <v>2687.49</v>
      </c>
      <c r="I140" s="185">
        <f t="shared" si="39"/>
        <v>2669.98</v>
      </c>
      <c r="J140" s="186">
        <f t="shared" si="36"/>
        <v>10679.92</v>
      </c>
      <c r="K140" s="187">
        <f t="shared" si="41"/>
        <v>10749.96</v>
      </c>
      <c r="L140" s="188">
        <f t="shared" si="40"/>
        <v>-70.039999999999054</v>
      </c>
      <c r="M140" s="189">
        <f t="shared" si="26"/>
        <v>-5.7405911139962225</v>
      </c>
      <c r="N140" s="190">
        <f t="shared" si="27"/>
        <v>-75.780591113995271</v>
      </c>
      <c r="O140" s="189">
        <v>0</v>
      </c>
      <c r="P140" s="189">
        <v>0</v>
      </c>
      <c r="Q140" s="189">
        <v>0</v>
      </c>
      <c r="R140" s="190">
        <f t="shared" si="28"/>
        <v>-75.780591113995271</v>
      </c>
    </row>
    <row r="141" spans="1:18" x14ac:dyDescent="0.25">
      <c r="A141" s="146">
        <v>2</v>
      </c>
      <c r="B141" s="181">
        <f t="shared" si="35"/>
        <v>44958</v>
      </c>
      <c r="C141" s="204">
        <f t="shared" si="42"/>
        <v>44988</v>
      </c>
      <c r="D141" s="204">
        <f t="shared" si="42"/>
        <v>45009</v>
      </c>
      <c r="E141" s="52" t="s">
        <v>16</v>
      </c>
      <c r="F141" s="221">
        <v>9</v>
      </c>
      <c r="G141" s="184">
        <v>5</v>
      </c>
      <c r="H141" s="185">
        <f t="shared" si="25"/>
        <v>2687.49</v>
      </c>
      <c r="I141" s="185">
        <f t="shared" si="39"/>
        <v>2669.98</v>
      </c>
      <c r="J141" s="186">
        <f t="shared" si="36"/>
        <v>13349.9</v>
      </c>
      <c r="K141" s="187">
        <f t="shared" si="41"/>
        <v>13437.449999999999</v>
      </c>
      <c r="L141" s="188">
        <f t="shared" si="40"/>
        <v>-87.549999999999272</v>
      </c>
      <c r="M141" s="189">
        <f t="shared" si="26"/>
        <v>-7.1757388924952794</v>
      </c>
      <c r="N141" s="190">
        <f t="shared" si="27"/>
        <v>-94.725738892494547</v>
      </c>
      <c r="O141" s="189">
        <v>0</v>
      </c>
      <c r="P141" s="189">
        <v>0</v>
      </c>
      <c r="Q141" s="189">
        <v>0</v>
      </c>
      <c r="R141" s="190">
        <f t="shared" si="28"/>
        <v>-94.725738892494547</v>
      </c>
    </row>
    <row r="142" spans="1:18" x14ac:dyDescent="0.25">
      <c r="A142" s="146">
        <v>3</v>
      </c>
      <c r="B142" s="181">
        <f t="shared" si="35"/>
        <v>44986</v>
      </c>
      <c r="C142" s="204">
        <f t="shared" si="42"/>
        <v>45021</v>
      </c>
      <c r="D142" s="204">
        <f t="shared" si="42"/>
        <v>45040</v>
      </c>
      <c r="E142" s="52" t="s">
        <v>16</v>
      </c>
      <c r="F142" s="221">
        <v>9</v>
      </c>
      <c r="G142" s="184">
        <v>1</v>
      </c>
      <c r="H142" s="185">
        <f t="shared" si="25"/>
        <v>2687.49</v>
      </c>
      <c r="I142" s="185">
        <f t="shared" si="39"/>
        <v>2669.98</v>
      </c>
      <c r="J142" s="186">
        <f t="shared" si="36"/>
        <v>2669.98</v>
      </c>
      <c r="K142" s="187">
        <f t="shared" si="41"/>
        <v>2687.49</v>
      </c>
      <c r="L142" s="188">
        <f>+J142-K142</f>
        <v>-17.509999999999764</v>
      </c>
      <c r="M142" s="189">
        <f t="shared" si="26"/>
        <v>-1.4351477784990556</v>
      </c>
      <c r="N142" s="190">
        <f t="shared" si="27"/>
        <v>-18.945147778498818</v>
      </c>
      <c r="O142" s="189">
        <v>0</v>
      </c>
      <c r="P142" s="189">
        <v>0</v>
      </c>
      <c r="Q142" s="189">
        <v>0</v>
      </c>
      <c r="R142" s="190">
        <f t="shared" si="28"/>
        <v>-18.945147778498818</v>
      </c>
    </row>
    <row r="143" spans="1:18" x14ac:dyDescent="0.25">
      <c r="A143" s="110">
        <v>4</v>
      </c>
      <c r="B143" s="181">
        <f t="shared" si="35"/>
        <v>45017</v>
      </c>
      <c r="C143" s="204">
        <f t="shared" si="42"/>
        <v>45049</v>
      </c>
      <c r="D143" s="204">
        <f t="shared" si="42"/>
        <v>45070</v>
      </c>
      <c r="E143" s="52" t="s">
        <v>16</v>
      </c>
      <c r="F143" s="221">
        <v>9</v>
      </c>
      <c r="G143" s="184">
        <v>7</v>
      </c>
      <c r="H143" s="185">
        <f t="shared" si="25"/>
        <v>2687.49</v>
      </c>
      <c r="I143" s="185">
        <f t="shared" si="39"/>
        <v>2669.98</v>
      </c>
      <c r="J143" s="186">
        <f t="shared" si="36"/>
        <v>18689.86</v>
      </c>
      <c r="K143" s="187">
        <f t="shared" si="41"/>
        <v>18812.43</v>
      </c>
      <c r="L143" s="188">
        <f t="shared" ref="L143:L153" si="43">+J143-K143</f>
        <v>-122.56999999999971</v>
      </c>
      <c r="M143" s="189">
        <f t="shared" si="26"/>
        <v>-10.046034449493391</v>
      </c>
      <c r="N143" s="190">
        <f t="shared" si="27"/>
        <v>-132.6160344494931</v>
      </c>
      <c r="O143" s="189">
        <v>0</v>
      </c>
      <c r="P143" s="189">
        <v>0</v>
      </c>
      <c r="Q143" s="189">
        <v>0</v>
      </c>
      <c r="R143" s="190">
        <f t="shared" si="28"/>
        <v>-132.6160344494931</v>
      </c>
    </row>
    <row r="144" spans="1:18" x14ac:dyDescent="0.25">
      <c r="A144" s="146">
        <v>5</v>
      </c>
      <c r="B144" s="181">
        <f t="shared" si="35"/>
        <v>45047</v>
      </c>
      <c r="C144" s="204">
        <f t="shared" si="42"/>
        <v>45082</v>
      </c>
      <c r="D144" s="204">
        <f t="shared" si="42"/>
        <v>45103</v>
      </c>
      <c r="E144" s="52" t="s">
        <v>16</v>
      </c>
      <c r="F144" s="221">
        <v>9</v>
      </c>
      <c r="G144" s="184">
        <v>3</v>
      </c>
      <c r="H144" s="185">
        <f t="shared" si="25"/>
        <v>2687.49</v>
      </c>
      <c r="I144" s="185">
        <f t="shared" si="39"/>
        <v>2669.98</v>
      </c>
      <c r="J144" s="186">
        <f t="shared" si="36"/>
        <v>8009.9400000000005</v>
      </c>
      <c r="K144" s="187">
        <f t="shared" si="41"/>
        <v>8062.4699999999993</v>
      </c>
      <c r="L144" s="188">
        <f t="shared" si="43"/>
        <v>-52.529999999998836</v>
      </c>
      <c r="M144" s="189">
        <f t="shared" si="26"/>
        <v>-4.3054433354971673</v>
      </c>
      <c r="N144" s="190">
        <f t="shared" si="27"/>
        <v>-56.835443335496002</v>
      </c>
      <c r="O144" s="189">
        <v>0</v>
      </c>
      <c r="P144" s="189">
        <v>0</v>
      </c>
      <c r="Q144" s="189">
        <v>0</v>
      </c>
      <c r="R144" s="190">
        <f t="shared" si="28"/>
        <v>-56.835443335496002</v>
      </c>
    </row>
    <row r="145" spans="1:19" x14ac:dyDescent="0.25">
      <c r="A145" s="146">
        <v>6</v>
      </c>
      <c r="B145" s="181">
        <f t="shared" si="35"/>
        <v>45078</v>
      </c>
      <c r="C145" s="204">
        <f t="shared" si="42"/>
        <v>45112</v>
      </c>
      <c r="D145" s="204">
        <f t="shared" si="42"/>
        <v>45131</v>
      </c>
      <c r="E145" s="52" t="s">
        <v>16</v>
      </c>
      <c r="F145" s="221">
        <v>9</v>
      </c>
      <c r="G145" s="184">
        <v>7</v>
      </c>
      <c r="H145" s="185">
        <f t="shared" si="25"/>
        <v>2687.49</v>
      </c>
      <c r="I145" s="185">
        <f t="shared" si="39"/>
        <v>2669.98</v>
      </c>
      <c r="J145" s="186">
        <f t="shared" si="36"/>
        <v>18689.86</v>
      </c>
      <c r="K145" s="187">
        <f t="shared" si="41"/>
        <v>18812.43</v>
      </c>
      <c r="L145" s="192">
        <f t="shared" si="43"/>
        <v>-122.56999999999971</v>
      </c>
      <c r="M145" s="189">
        <f t="shared" si="26"/>
        <v>-10.046034449493391</v>
      </c>
      <c r="N145" s="190">
        <f t="shared" si="27"/>
        <v>-132.6160344494931</v>
      </c>
      <c r="O145" s="189">
        <v>0</v>
      </c>
      <c r="P145" s="189">
        <v>0</v>
      </c>
      <c r="Q145" s="189">
        <v>0</v>
      </c>
      <c r="R145" s="190">
        <f t="shared" si="28"/>
        <v>-132.6160344494931</v>
      </c>
    </row>
    <row r="146" spans="1:19" x14ac:dyDescent="0.25">
      <c r="A146" s="110">
        <v>7</v>
      </c>
      <c r="B146" s="181">
        <f t="shared" si="35"/>
        <v>45108</v>
      </c>
      <c r="C146" s="204">
        <f t="shared" si="42"/>
        <v>45141</v>
      </c>
      <c r="D146" s="204">
        <f t="shared" si="42"/>
        <v>45162</v>
      </c>
      <c r="E146" s="52" t="s">
        <v>16</v>
      </c>
      <c r="F146" s="221">
        <v>9</v>
      </c>
      <c r="G146" s="184">
        <v>5</v>
      </c>
      <c r="H146" s="185">
        <f t="shared" si="25"/>
        <v>2687.49</v>
      </c>
      <c r="I146" s="185">
        <f t="shared" si="39"/>
        <v>2669.98</v>
      </c>
      <c r="J146" s="186">
        <f t="shared" si="36"/>
        <v>13349.9</v>
      </c>
      <c r="K146" s="193">
        <f t="shared" si="41"/>
        <v>13437.449999999999</v>
      </c>
      <c r="L146" s="192">
        <f t="shared" si="43"/>
        <v>-87.549999999999272</v>
      </c>
      <c r="M146" s="189">
        <f t="shared" si="26"/>
        <v>-7.1757388924952794</v>
      </c>
      <c r="N146" s="190">
        <f t="shared" si="27"/>
        <v>-94.725738892494547</v>
      </c>
      <c r="O146" s="189">
        <v>0</v>
      </c>
      <c r="P146" s="189">
        <v>0</v>
      </c>
      <c r="Q146" s="189">
        <v>0</v>
      </c>
      <c r="R146" s="190">
        <f t="shared" si="28"/>
        <v>-94.725738892494547</v>
      </c>
    </row>
    <row r="147" spans="1:19" x14ac:dyDescent="0.25">
      <c r="A147" s="146">
        <v>8</v>
      </c>
      <c r="B147" s="181">
        <f t="shared" si="35"/>
        <v>45139</v>
      </c>
      <c r="C147" s="204">
        <f t="shared" si="42"/>
        <v>45174</v>
      </c>
      <c r="D147" s="204">
        <f t="shared" si="42"/>
        <v>45194</v>
      </c>
      <c r="E147" s="52" t="s">
        <v>16</v>
      </c>
      <c r="F147" s="221">
        <v>9</v>
      </c>
      <c r="G147" s="184">
        <v>5</v>
      </c>
      <c r="H147" s="185">
        <f t="shared" si="25"/>
        <v>2687.49</v>
      </c>
      <c r="I147" s="185">
        <f t="shared" si="39"/>
        <v>2669.98</v>
      </c>
      <c r="J147" s="186">
        <f t="shared" si="36"/>
        <v>13349.9</v>
      </c>
      <c r="K147" s="193">
        <f t="shared" si="41"/>
        <v>13437.449999999999</v>
      </c>
      <c r="L147" s="192">
        <f t="shared" si="43"/>
        <v>-87.549999999999272</v>
      </c>
      <c r="M147" s="189">
        <f t="shared" si="26"/>
        <v>-7.1757388924952794</v>
      </c>
      <c r="N147" s="190">
        <f t="shared" si="27"/>
        <v>-94.725738892494547</v>
      </c>
      <c r="O147" s="189">
        <v>0</v>
      </c>
      <c r="P147" s="189">
        <v>0</v>
      </c>
      <c r="Q147" s="189">
        <v>0</v>
      </c>
      <c r="R147" s="190">
        <f t="shared" si="28"/>
        <v>-94.725738892494547</v>
      </c>
    </row>
    <row r="148" spans="1:19" x14ac:dyDescent="0.25">
      <c r="A148" s="146">
        <v>9</v>
      </c>
      <c r="B148" s="181">
        <f t="shared" si="35"/>
        <v>45170</v>
      </c>
      <c r="C148" s="204">
        <f t="shared" si="42"/>
        <v>45203</v>
      </c>
      <c r="D148" s="204">
        <f t="shared" si="42"/>
        <v>45223</v>
      </c>
      <c r="E148" s="52" t="s">
        <v>16</v>
      </c>
      <c r="F148" s="221">
        <v>9</v>
      </c>
      <c r="G148" s="184">
        <v>6</v>
      </c>
      <c r="H148" s="185">
        <f t="shared" si="25"/>
        <v>2687.49</v>
      </c>
      <c r="I148" s="185">
        <f t="shared" ref="I148:I179" si="44">$J$3</f>
        <v>2669.98</v>
      </c>
      <c r="J148" s="186">
        <f t="shared" si="36"/>
        <v>16019.880000000001</v>
      </c>
      <c r="K148" s="193">
        <f t="shared" si="41"/>
        <v>16124.939999999999</v>
      </c>
      <c r="L148" s="192">
        <f t="shared" si="43"/>
        <v>-105.05999999999767</v>
      </c>
      <c r="M148" s="189">
        <f t="shared" si="26"/>
        <v>-8.6108866709943346</v>
      </c>
      <c r="N148" s="190">
        <f t="shared" si="27"/>
        <v>-113.670886670992</v>
      </c>
      <c r="O148" s="189">
        <v>0</v>
      </c>
      <c r="P148" s="189">
        <v>0</v>
      </c>
      <c r="Q148" s="189">
        <v>0</v>
      </c>
      <c r="R148" s="190">
        <f t="shared" si="28"/>
        <v>-113.670886670992</v>
      </c>
    </row>
    <row r="149" spans="1:19" x14ac:dyDescent="0.25">
      <c r="A149" s="110">
        <v>10</v>
      </c>
      <c r="B149" s="181">
        <f t="shared" ref="B149:B211" si="45">DATE($R$1,A149,1)</f>
        <v>45200</v>
      </c>
      <c r="C149" s="204">
        <f t="shared" si="42"/>
        <v>45233</v>
      </c>
      <c r="D149" s="204">
        <f t="shared" si="42"/>
        <v>45254</v>
      </c>
      <c r="E149" s="52" t="s">
        <v>16</v>
      </c>
      <c r="F149" s="221">
        <v>9</v>
      </c>
      <c r="G149" s="184">
        <v>5</v>
      </c>
      <c r="H149" s="185">
        <f t="shared" ref="H149:H211" si="46">+$K$3</f>
        <v>2687.49</v>
      </c>
      <c r="I149" s="185">
        <f t="shared" si="44"/>
        <v>2669.98</v>
      </c>
      <c r="J149" s="186">
        <f t="shared" ref="J149:J211" si="47">+$G149*I149</f>
        <v>13349.9</v>
      </c>
      <c r="K149" s="193">
        <f t="shared" si="41"/>
        <v>13437.449999999999</v>
      </c>
      <c r="L149" s="192">
        <f t="shared" si="43"/>
        <v>-87.549999999999272</v>
      </c>
      <c r="M149" s="189">
        <f t="shared" ref="M149:M211" si="48">G149/$G$212*$M$14</f>
        <v>-7.1757388924952794</v>
      </c>
      <c r="N149" s="190">
        <f t="shared" ref="N149:N211" si="49">SUM(L149:M149)</f>
        <v>-94.725738892494547</v>
      </c>
      <c r="O149" s="189">
        <v>0</v>
      </c>
      <c r="P149" s="189">
        <v>0</v>
      </c>
      <c r="Q149" s="189">
        <v>0</v>
      </c>
      <c r="R149" s="190">
        <f t="shared" ref="R149:R211" si="50">+N149-Q149</f>
        <v>-94.725738892494547</v>
      </c>
    </row>
    <row r="150" spans="1:19" x14ac:dyDescent="0.25">
      <c r="A150" s="146">
        <v>11</v>
      </c>
      <c r="B150" s="181">
        <f t="shared" si="45"/>
        <v>45231</v>
      </c>
      <c r="C150" s="204">
        <f t="shared" si="42"/>
        <v>45266</v>
      </c>
      <c r="D150" s="204">
        <f t="shared" si="42"/>
        <v>45285</v>
      </c>
      <c r="E150" s="52" t="s">
        <v>16</v>
      </c>
      <c r="F150" s="221">
        <v>9</v>
      </c>
      <c r="G150" s="184">
        <v>4</v>
      </c>
      <c r="H150" s="185">
        <f t="shared" si="46"/>
        <v>2687.49</v>
      </c>
      <c r="I150" s="185">
        <f t="shared" si="44"/>
        <v>2669.98</v>
      </c>
      <c r="J150" s="186">
        <f t="shared" si="47"/>
        <v>10679.92</v>
      </c>
      <c r="K150" s="193">
        <f t="shared" si="41"/>
        <v>10749.96</v>
      </c>
      <c r="L150" s="192">
        <f t="shared" si="43"/>
        <v>-70.039999999999054</v>
      </c>
      <c r="M150" s="189">
        <f t="shared" si="48"/>
        <v>-5.7405911139962225</v>
      </c>
      <c r="N150" s="190">
        <f t="shared" si="49"/>
        <v>-75.780591113995271</v>
      </c>
      <c r="O150" s="189">
        <v>0</v>
      </c>
      <c r="P150" s="189">
        <v>0</v>
      </c>
      <c r="Q150" s="189">
        <v>0</v>
      </c>
      <c r="R150" s="190">
        <f t="shared" si="50"/>
        <v>-75.780591113995271</v>
      </c>
    </row>
    <row r="151" spans="1:19" s="208" customFormat="1" x14ac:dyDescent="0.25">
      <c r="A151" s="146">
        <v>12</v>
      </c>
      <c r="B151" s="206">
        <f t="shared" si="45"/>
        <v>45261</v>
      </c>
      <c r="C151" s="204">
        <f t="shared" si="42"/>
        <v>45294</v>
      </c>
      <c r="D151" s="204">
        <f t="shared" si="42"/>
        <v>45315</v>
      </c>
      <c r="E151" s="207" t="s">
        <v>16</v>
      </c>
      <c r="F151" s="223">
        <v>9</v>
      </c>
      <c r="G151" s="196">
        <v>4</v>
      </c>
      <c r="H151" s="197">
        <f t="shared" si="46"/>
        <v>2687.49</v>
      </c>
      <c r="I151" s="197">
        <f t="shared" si="44"/>
        <v>2669.98</v>
      </c>
      <c r="J151" s="198">
        <f t="shared" si="47"/>
        <v>10679.92</v>
      </c>
      <c r="K151" s="199">
        <f t="shared" si="41"/>
        <v>10749.96</v>
      </c>
      <c r="L151" s="200">
        <f t="shared" si="43"/>
        <v>-70.039999999999054</v>
      </c>
      <c r="M151" s="189">
        <f t="shared" si="48"/>
        <v>-5.7405911139962225</v>
      </c>
      <c r="N151" s="190">
        <f t="shared" si="49"/>
        <v>-75.780591113995271</v>
      </c>
      <c r="O151" s="189">
        <v>0</v>
      </c>
      <c r="P151" s="189">
        <v>0</v>
      </c>
      <c r="Q151" s="189">
        <v>0</v>
      </c>
      <c r="R151" s="190">
        <f t="shared" si="50"/>
        <v>-75.780591113995271</v>
      </c>
    </row>
    <row r="152" spans="1:19" x14ac:dyDescent="0.25">
      <c r="A152" s="110">
        <v>1</v>
      </c>
      <c r="B152" s="181">
        <f t="shared" si="45"/>
        <v>44927</v>
      </c>
      <c r="C152" s="202">
        <f t="shared" ref="C152:D171" si="51">+C140</f>
        <v>44960</v>
      </c>
      <c r="D152" s="202">
        <f t="shared" si="51"/>
        <v>44981</v>
      </c>
      <c r="E152" s="211" t="s">
        <v>54</v>
      </c>
      <c r="F152" s="133">
        <v>9</v>
      </c>
      <c r="G152" s="184">
        <v>113</v>
      </c>
      <c r="H152" s="185">
        <f t="shared" si="46"/>
        <v>2687.49</v>
      </c>
      <c r="I152" s="185">
        <f t="shared" si="44"/>
        <v>2669.98</v>
      </c>
      <c r="J152" s="186">
        <f t="shared" si="47"/>
        <v>301707.74</v>
      </c>
      <c r="K152" s="187">
        <f t="shared" si="41"/>
        <v>303686.37</v>
      </c>
      <c r="L152" s="188">
        <f t="shared" si="43"/>
        <v>-1978.6300000000047</v>
      </c>
      <c r="M152" s="189">
        <f t="shared" si="48"/>
        <v>-162.17169897039329</v>
      </c>
      <c r="N152" s="190">
        <f t="shared" si="49"/>
        <v>-2140.8016989703979</v>
      </c>
      <c r="O152" s="189">
        <v>0</v>
      </c>
      <c r="P152" s="189">
        <v>0</v>
      </c>
      <c r="Q152" s="189">
        <v>0</v>
      </c>
      <c r="R152" s="190">
        <f t="shared" si="50"/>
        <v>-2140.8016989703979</v>
      </c>
    </row>
    <row r="153" spans="1:19" x14ac:dyDescent="0.25">
      <c r="A153" s="146">
        <v>2</v>
      </c>
      <c r="B153" s="181">
        <f t="shared" si="45"/>
        <v>44958</v>
      </c>
      <c r="C153" s="204">
        <f t="shared" si="51"/>
        <v>44988</v>
      </c>
      <c r="D153" s="204">
        <f t="shared" si="51"/>
        <v>45009</v>
      </c>
      <c r="E153" s="212" t="s">
        <v>54</v>
      </c>
      <c r="F153" s="221">
        <v>9</v>
      </c>
      <c r="G153" s="184">
        <v>108</v>
      </c>
      <c r="H153" s="185">
        <f t="shared" si="46"/>
        <v>2687.49</v>
      </c>
      <c r="I153" s="185">
        <f t="shared" si="44"/>
        <v>2669.98</v>
      </c>
      <c r="J153" s="186">
        <f t="shared" si="47"/>
        <v>288357.84000000003</v>
      </c>
      <c r="K153" s="187">
        <f t="shared" si="41"/>
        <v>290248.92</v>
      </c>
      <c r="L153" s="188">
        <f t="shared" si="43"/>
        <v>-1891.0799999999581</v>
      </c>
      <c r="M153" s="189">
        <f t="shared" si="48"/>
        <v>-154.99596007789805</v>
      </c>
      <c r="N153" s="190">
        <f t="shared" si="49"/>
        <v>-2046.0759600778561</v>
      </c>
      <c r="O153" s="189">
        <v>0</v>
      </c>
      <c r="P153" s="189">
        <v>0</v>
      </c>
      <c r="Q153" s="189">
        <v>0</v>
      </c>
      <c r="R153" s="190">
        <f t="shared" si="50"/>
        <v>-2046.0759600778561</v>
      </c>
    </row>
    <row r="154" spans="1:19" x14ac:dyDescent="0.25">
      <c r="A154" s="146">
        <v>3</v>
      </c>
      <c r="B154" s="181">
        <f t="shared" si="45"/>
        <v>44986</v>
      </c>
      <c r="C154" s="204">
        <f t="shared" si="51"/>
        <v>45021</v>
      </c>
      <c r="D154" s="204">
        <f t="shared" si="51"/>
        <v>45040</v>
      </c>
      <c r="E154" s="212" t="s">
        <v>54</v>
      </c>
      <c r="F154" s="221">
        <v>9</v>
      </c>
      <c r="G154" s="184">
        <v>96</v>
      </c>
      <c r="H154" s="185">
        <f t="shared" si="46"/>
        <v>2687.49</v>
      </c>
      <c r="I154" s="185">
        <f t="shared" si="44"/>
        <v>2669.98</v>
      </c>
      <c r="J154" s="186">
        <f t="shared" si="47"/>
        <v>256318.08000000002</v>
      </c>
      <c r="K154" s="187">
        <f t="shared" si="41"/>
        <v>257999.03999999998</v>
      </c>
      <c r="L154" s="188">
        <f>+J154-K154</f>
        <v>-1680.9599999999627</v>
      </c>
      <c r="M154" s="189">
        <f t="shared" si="48"/>
        <v>-137.77418673590935</v>
      </c>
      <c r="N154" s="190">
        <f t="shared" si="49"/>
        <v>-1818.7341867358721</v>
      </c>
      <c r="O154" s="189">
        <v>0</v>
      </c>
      <c r="P154" s="189">
        <v>0</v>
      </c>
      <c r="Q154" s="189">
        <v>0</v>
      </c>
      <c r="R154" s="190">
        <f t="shared" si="50"/>
        <v>-1818.7341867358721</v>
      </c>
    </row>
    <row r="155" spans="1:19" x14ac:dyDescent="0.25">
      <c r="A155" s="110">
        <v>4</v>
      </c>
      <c r="B155" s="181">
        <f t="shared" si="45"/>
        <v>45017</v>
      </c>
      <c r="C155" s="204">
        <f t="shared" si="51"/>
        <v>45049</v>
      </c>
      <c r="D155" s="204">
        <f t="shared" si="51"/>
        <v>45070</v>
      </c>
      <c r="E155" s="212" t="s">
        <v>54</v>
      </c>
      <c r="F155" s="221">
        <v>9</v>
      </c>
      <c r="G155" s="184">
        <v>91</v>
      </c>
      <c r="H155" s="185">
        <f t="shared" si="46"/>
        <v>2687.49</v>
      </c>
      <c r="I155" s="185">
        <f t="shared" si="44"/>
        <v>2669.98</v>
      </c>
      <c r="J155" s="186">
        <f t="shared" si="47"/>
        <v>242968.18</v>
      </c>
      <c r="K155" s="187">
        <f t="shared" si="41"/>
        <v>244561.58999999997</v>
      </c>
      <c r="L155" s="188">
        <f t="shared" ref="L155:L165" si="52">+J155-K155</f>
        <v>-1593.4099999999744</v>
      </c>
      <c r="M155" s="189">
        <f t="shared" si="48"/>
        <v>-130.59844784341408</v>
      </c>
      <c r="N155" s="190">
        <f t="shared" si="49"/>
        <v>-1724.0084478433885</v>
      </c>
      <c r="O155" s="189">
        <v>0</v>
      </c>
      <c r="P155" s="189">
        <v>0</v>
      </c>
      <c r="Q155" s="189">
        <v>0</v>
      </c>
      <c r="R155" s="190">
        <f t="shared" si="50"/>
        <v>-1724.0084478433885</v>
      </c>
    </row>
    <row r="156" spans="1:19" x14ac:dyDescent="0.25">
      <c r="A156" s="146">
        <v>5</v>
      </c>
      <c r="B156" s="181">
        <f t="shared" si="45"/>
        <v>45047</v>
      </c>
      <c r="C156" s="204">
        <f t="shared" si="51"/>
        <v>45082</v>
      </c>
      <c r="D156" s="204">
        <f t="shared" si="51"/>
        <v>45103</v>
      </c>
      <c r="E156" s="212" t="s">
        <v>54</v>
      </c>
      <c r="F156" s="221">
        <v>9</v>
      </c>
      <c r="G156" s="184">
        <v>125</v>
      </c>
      <c r="H156" s="185">
        <f t="shared" si="46"/>
        <v>2687.49</v>
      </c>
      <c r="I156" s="185">
        <f t="shared" si="44"/>
        <v>2669.98</v>
      </c>
      <c r="J156" s="186">
        <f t="shared" si="47"/>
        <v>333747.5</v>
      </c>
      <c r="K156" s="187">
        <f t="shared" si="41"/>
        <v>335936.25</v>
      </c>
      <c r="L156" s="188">
        <f t="shared" si="52"/>
        <v>-2188.75</v>
      </c>
      <c r="M156" s="189">
        <f t="shared" si="48"/>
        <v>-179.39347231238199</v>
      </c>
      <c r="N156" s="190">
        <f t="shared" si="49"/>
        <v>-2368.1434723123821</v>
      </c>
      <c r="O156" s="189">
        <v>0</v>
      </c>
      <c r="P156" s="189">
        <v>0</v>
      </c>
      <c r="Q156" s="189">
        <v>0</v>
      </c>
      <c r="R156" s="190">
        <f t="shared" si="50"/>
        <v>-2368.1434723123821</v>
      </c>
    </row>
    <row r="157" spans="1:19" x14ac:dyDescent="0.25">
      <c r="A157" s="146">
        <v>6</v>
      </c>
      <c r="B157" s="181">
        <f t="shared" si="45"/>
        <v>45078</v>
      </c>
      <c r="C157" s="204">
        <f t="shared" si="51"/>
        <v>45112</v>
      </c>
      <c r="D157" s="204">
        <f t="shared" si="51"/>
        <v>45131</v>
      </c>
      <c r="E157" s="212" t="s">
        <v>54</v>
      </c>
      <c r="F157" s="221">
        <v>9</v>
      </c>
      <c r="G157" s="184">
        <v>167</v>
      </c>
      <c r="H157" s="185">
        <f t="shared" si="46"/>
        <v>2687.49</v>
      </c>
      <c r="I157" s="185">
        <f t="shared" si="44"/>
        <v>2669.98</v>
      </c>
      <c r="J157" s="186">
        <f t="shared" si="47"/>
        <v>445886.66</v>
      </c>
      <c r="K157" s="187">
        <f t="shared" si="41"/>
        <v>448810.82999999996</v>
      </c>
      <c r="L157" s="192">
        <f t="shared" si="52"/>
        <v>-2924.1699999999837</v>
      </c>
      <c r="M157" s="189">
        <f t="shared" si="48"/>
        <v>-239.66967900934233</v>
      </c>
      <c r="N157" s="190">
        <f t="shared" si="49"/>
        <v>-3163.8396790093261</v>
      </c>
      <c r="O157" s="189">
        <v>0</v>
      </c>
      <c r="P157" s="189">
        <v>0</v>
      </c>
      <c r="Q157" s="189">
        <v>0</v>
      </c>
      <c r="R157" s="190">
        <f t="shared" si="50"/>
        <v>-3163.8396790093261</v>
      </c>
    </row>
    <row r="158" spans="1:19" x14ac:dyDescent="0.25">
      <c r="A158" s="110">
        <v>7</v>
      </c>
      <c r="B158" s="181">
        <f t="shared" si="45"/>
        <v>45108</v>
      </c>
      <c r="C158" s="204">
        <f t="shared" si="51"/>
        <v>45141</v>
      </c>
      <c r="D158" s="204">
        <f t="shared" si="51"/>
        <v>45162</v>
      </c>
      <c r="E158" s="212" t="s">
        <v>54</v>
      </c>
      <c r="F158" s="221">
        <v>9</v>
      </c>
      <c r="G158" s="184">
        <v>160</v>
      </c>
      <c r="H158" s="185">
        <f t="shared" si="46"/>
        <v>2687.49</v>
      </c>
      <c r="I158" s="185">
        <f t="shared" si="44"/>
        <v>2669.98</v>
      </c>
      <c r="J158" s="186">
        <f t="shared" si="47"/>
        <v>427196.8</v>
      </c>
      <c r="K158" s="193">
        <f t="shared" si="41"/>
        <v>429998.39999999997</v>
      </c>
      <c r="L158" s="192">
        <f t="shared" si="52"/>
        <v>-2801.5999999999767</v>
      </c>
      <c r="M158" s="189">
        <f t="shared" si="48"/>
        <v>-229.62364455984894</v>
      </c>
      <c r="N158" s="190">
        <f t="shared" si="49"/>
        <v>-3031.2236445598255</v>
      </c>
      <c r="O158" s="189">
        <v>0</v>
      </c>
      <c r="P158" s="189">
        <v>0</v>
      </c>
      <c r="Q158" s="189">
        <v>0</v>
      </c>
      <c r="R158" s="190">
        <f t="shared" si="50"/>
        <v>-3031.2236445598255</v>
      </c>
    </row>
    <row r="159" spans="1:19" x14ac:dyDescent="0.25">
      <c r="A159" s="146">
        <v>8</v>
      </c>
      <c r="B159" s="181">
        <f t="shared" si="45"/>
        <v>45139</v>
      </c>
      <c r="C159" s="204">
        <f t="shared" si="51"/>
        <v>45174</v>
      </c>
      <c r="D159" s="204">
        <f t="shared" si="51"/>
        <v>45194</v>
      </c>
      <c r="E159" s="212" t="s">
        <v>54</v>
      </c>
      <c r="F159" s="133">
        <v>9</v>
      </c>
      <c r="G159" s="184">
        <v>181</v>
      </c>
      <c r="H159" s="185">
        <f t="shared" si="46"/>
        <v>2687.49</v>
      </c>
      <c r="I159" s="185">
        <f t="shared" si="44"/>
        <v>2669.98</v>
      </c>
      <c r="J159" s="186">
        <f t="shared" si="47"/>
        <v>483266.38</v>
      </c>
      <c r="K159" s="193">
        <f t="shared" si="41"/>
        <v>486435.68999999994</v>
      </c>
      <c r="L159" s="192">
        <f t="shared" si="52"/>
        <v>-3169.3099999999395</v>
      </c>
      <c r="M159" s="189">
        <f t="shared" si="48"/>
        <v>-259.76174790832908</v>
      </c>
      <c r="N159" s="190">
        <f t="shared" si="49"/>
        <v>-3429.0717479082687</v>
      </c>
      <c r="O159" s="189">
        <v>0</v>
      </c>
      <c r="P159" s="189">
        <v>0</v>
      </c>
      <c r="Q159" s="189">
        <v>0</v>
      </c>
      <c r="R159" s="190">
        <f t="shared" si="50"/>
        <v>-3429.0717479082687</v>
      </c>
      <c r="S159" s="50"/>
    </row>
    <row r="160" spans="1:19" x14ac:dyDescent="0.25">
      <c r="A160" s="146">
        <v>9</v>
      </c>
      <c r="B160" s="181">
        <f t="shared" si="45"/>
        <v>45170</v>
      </c>
      <c r="C160" s="204">
        <f t="shared" si="51"/>
        <v>45203</v>
      </c>
      <c r="D160" s="204">
        <f t="shared" si="51"/>
        <v>45223</v>
      </c>
      <c r="E160" s="212" t="s">
        <v>54</v>
      </c>
      <c r="F160" s="133">
        <v>9</v>
      </c>
      <c r="G160" s="184">
        <v>157</v>
      </c>
      <c r="H160" s="185">
        <f t="shared" si="46"/>
        <v>2687.49</v>
      </c>
      <c r="I160" s="185">
        <f t="shared" si="44"/>
        <v>2669.98</v>
      </c>
      <c r="J160" s="186">
        <f t="shared" si="47"/>
        <v>419186.86</v>
      </c>
      <c r="K160" s="193">
        <f t="shared" si="41"/>
        <v>421935.93</v>
      </c>
      <c r="L160" s="192">
        <f t="shared" si="52"/>
        <v>-2749.070000000007</v>
      </c>
      <c r="M160" s="189">
        <f t="shared" si="48"/>
        <v>-225.31820122435175</v>
      </c>
      <c r="N160" s="190">
        <f t="shared" si="49"/>
        <v>-2974.3882012243589</v>
      </c>
      <c r="O160" s="189">
        <v>0</v>
      </c>
      <c r="P160" s="189">
        <v>0</v>
      </c>
      <c r="Q160" s="189">
        <v>0</v>
      </c>
      <c r="R160" s="190">
        <f t="shared" si="50"/>
        <v>-2974.3882012243589</v>
      </c>
    </row>
    <row r="161" spans="1:19" x14ac:dyDescent="0.25">
      <c r="A161" s="110">
        <v>10</v>
      </c>
      <c r="B161" s="181">
        <f t="shared" si="45"/>
        <v>45200</v>
      </c>
      <c r="C161" s="204">
        <f t="shared" si="51"/>
        <v>45233</v>
      </c>
      <c r="D161" s="204">
        <f t="shared" si="51"/>
        <v>45254</v>
      </c>
      <c r="E161" s="212" t="s">
        <v>54</v>
      </c>
      <c r="F161" s="133">
        <v>9</v>
      </c>
      <c r="G161" s="184">
        <v>118</v>
      </c>
      <c r="H161" s="185">
        <f t="shared" si="46"/>
        <v>2687.49</v>
      </c>
      <c r="I161" s="185">
        <f t="shared" si="44"/>
        <v>2669.98</v>
      </c>
      <c r="J161" s="186">
        <f t="shared" si="47"/>
        <v>315057.64</v>
      </c>
      <c r="K161" s="193">
        <f t="shared" si="41"/>
        <v>317123.81999999995</v>
      </c>
      <c r="L161" s="192">
        <f t="shared" si="52"/>
        <v>-2066.1799999999348</v>
      </c>
      <c r="M161" s="189">
        <f t="shared" si="48"/>
        <v>-169.3474378628886</v>
      </c>
      <c r="N161" s="190">
        <f t="shared" si="49"/>
        <v>-2235.5274378628233</v>
      </c>
      <c r="O161" s="189">
        <v>0</v>
      </c>
      <c r="P161" s="189">
        <v>0</v>
      </c>
      <c r="Q161" s="189">
        <v>0</v>
      </c>
      <c r="R161" s="190">
        <f t="shared" si="50"/>
        <v>-2235.5274378628233</v>
      </c>
    </row>
    <row r="162" spans="1:19" x14ac:dyDescent="0.25">
      <c r="A162" s="146">
        <v>11</v>
      </c>
      <c r="B162" s="181">
        <f t="shared" si="45"/>
        <v>45231</v>
      </c>
      <c r="C162" s="204">
        <f t="shared" si="51"/>
        <v>45266</v>
      </c>
      <c r="D162" s="204">
        <f t="shared" si="51"/>
        <v>45285</v>
      </c>
      <c r="E162" s="212" t="s">
        <v>54</v>
      </c>
      <c r="F162" s="133">
        <v>9</v>
      </c>
      <c r="G162" s="184">
        <v>102</v>
      </c>
      <c r="H162" s="185">
        <f t="shared" si="46"/>
        <v>2687.49</v>
      </c>
      <c r="I162" s="185">
        <f t="shared" si="44"/>
        <v>2669.98</v>
      </c>
      <c r="J162" s="186">
        <f t="shared" si="47"/>
        <v>272337.96000000002</v>
      </c>
      <c r="K162" s="193">
        <f t="shared" si="41"/>
        <v>274123.98</v>
      </c>
      <c r="L162" s="192">
        <f t="shared" si="52"/>
        <v>-1786.0199999999604</v>
      </c>
      <c r="M162" s="189">
        <f t="shared" si="48"/>
        <v>-146.38507340690367</v>
      </c>
      <c r="N162" s="190">
        <f t="shared" si="49"/>
        <v>-1932.4050734068642</v>
      </c>
      <c r="O162" s="189">
        <v>0</v>
      </c>
      <c r="P162" s="189">
        <v>0</v>
      </c>
      <c r="Q162" s="189">
        <v>0</v>
      </c>
      <c r="R162" s="190">
        <f t="shared" si="50"/>
        <v>-1932.4050734068642</v>
      </c>
    </row>
    <row r="163" spans="1:19" s="208" customFormat="1" x14ac:dyDescent="0.25">
      <c r="A163" s="146">
        <v>12</v>
      </c>
      <c r="B163" s="206">
        <f t="shared" si="45"/>
        <v>45261</v>
      </c>
      <c r="C163" s="204">
        <f t="shared" si="51"/>
        <v>45294</v>
      </c>
      <c r="D163" s="204">
        <f t="shared" si="51"/>
        <v>45315</v>
      </c>
      <c r="E163" s="213" t="s">
        <v>54</v>
      </c>
      <c r="F163" s="223">
        <v>9</v>
      </c>
      <c r="G163" s="196">
        <v>99</v>
      </c>
      <c r="H163" s="197">
        <f t="shared" si="46"/>
        <v>2687.49</v>
      </c>
      <c r="I163" s="197">
        <f t="shared" si="44"/>
        <v>2669.98</v>
      </c>
      <c r="J163" s="198">
        <f t="shared" si="47"/>
        <v>264328.02</v>
      </c>
      <c r="K163" s="199">
        <f t="shared" si="41"/>
        <v>266061.50999999995</v>
      </c>
      <c r="L163" s="200">
        <f t="shared" si="52"/>
        <v>-1733.4899999999325</v>
      </c>
      <c r="M163" s="189">
        <f t="shared" si="48"/>
        <v>-142.07963007140654</v>
      </c>
      <c r="N163" s="190">
        <f t="shared" si="49"/>
        <v>-1875.5696300713389</v>
      </c>
      <c r="O163" s="189">
        <v>0</v>
      </c>
      <c r="P163" s="189">
        <v>0</v>
      </c>
      <c r="Q163" s="189">
        <v>0</v>
      </c>
      <c r="R163" s="190">
        <f t="shared" si="50"/>
        <v>-1875.5696300713389</v>
      </c>
    </row>
    <row r="164" spans="1:19" x14ac:dyDescent="0.25">
      <c r="A164" s="110">
        <v>1</v>
      </c>
      <c r="B164" s="181">
        <f t="shared" si="45"/>
        <v>44927</v>
      </c>
      <c r="C164" s="202">
        <f t="shared" si="51"/>
        <v>44960</v>
      </c>
      <c r="D164" s="202">
        <f t="shared" si="51"/>
        <v>44981</v>
      </c>
      <c r="E164" s="211" t="s">
        <v>55</v>
      </c>
      <c r="F164" s="133">
        <v>9</v>
      </c>
      <c r="G164" s="184">
        <v>7</v>
      </c>
      <c r="H164" s="185">
        <f t="shared" si="46"/>
        <v>2687.49</v>
      </c>
      <c r="I164" s="185">
        <f t="shared" si="44"/>
        <v>2669.98</v>
      </c>
      <c r="J164" s="186">
        <f t="shared" si="47"/>
        <v>18689.86</v>
      </c>
      <c r="K164" s="187">
        <f t="shared" si="41"/>
        <v>18812.43</v>
      </c>
      <c r="L164" s="188">
        <f t="shared" si="52"/>
        <v>-122.56999999999971</v>
      </c>
      <c r="M164" s="189">
        <f t="shared" si="48"/>
        <v>-10.046034449493391</v>
      </c>
      <c r="N164" s="190">
        <f t="shared" si="49"/>
        <v>-132.6160344494931</v>
      </c>
      <c r="O164" s="189">
        <v>0</v>
      </c>
      <c r="P164" s="189">
        <v>0</v>
      </c>
      <c r="Q164" s="189">
        <v>0</v>
      </c>
      <c r="R164" s="190">
        <f t="shared" si="50"/>
        <v>-132.6160344494931</v>
      </c>
    </row>
    <row r="165" spans="1:19" x14ac:dyDescent="0.25">
      <c r="A165" s="146">
        <v>2</v>
      </c>
      <c r="B165" s="181">
        <f t="shared" si="45"/>
        <v>44958</v>
      </c>
      <c r="C165" s="204">
        <f t="shared" si="51"/>
        <v>44988</v>
      </c>
      <c r="D165" s="204">
        <f t="shared" si="51"/>
        <v>45009</v>
      </c>
      <c r="E165" s="212" t="s">
        <v>55</v>
      </c>
      <c r="F165" s="221">
        <v>9</v>
      </c>
      <c r="G165" s="184">
        <v>10</v>
      </c>
      <c r="H165" s="185">
        <f t="shared" si="46"/>
        <v>2687.49</v>
      </c>
      <c r="I165" s="185">
        <f t="shared" si="44"/>
        <v>2669.98</v>
      </c>
      <c r="J165" s="186">
        <f t="shared" si="47"/>
        <v>26699.8</v>
      </c>
      <c r="K165" s="187">
        <f t="shared" si="41"/>
        <v>26874.899999999998</v>
      </c>
      <c r="L165" s="188">
        <f t="shared" si="52"/>
        <v>-175.09999999999854</v>
      </c>
      <c r="M165" s="189">
        <f t="shared" si="48"/>
        <v>-14.351477784990559</v>
      </c>
      <c r="N165" s="190">
        <f t="shared" si="49"/>
        <v>-189.45147778498909</v>
      </c>
      <c r="O165" s="189">
        <v>0</v>
      </c>
      <c r="P165" s="189">
        <v>0</v>
      </c>
      <c r="Q165" s="189">
        <v>0</v>
      </c>
      <c r="R165" s="190">
        <f t="shared" si="50"/>
        <v>-189.45147778498909</v>
      </c>
    </row>
    <row r="166" spans="1:19" x14ac:dyDescent="0.25">
      <c r="A166" s="146">
        <v>3</v>
      </c>
      <c r="B166" s="181">
        <f t="shared" si="45"/>
        <v>44986</v>
      </c>
      <c r="C166" s="204">
        <f t="shared" si="51"/>
        <v>45021</v>
      </c>
      <c r="D166" s="204">
        <f t="shared" si="51"/>
        <v>45040</v>
      </c>
      <c r="E166" s="212" t="s">
        <v>55</v>
      </c>
      <c r="F166" s="221">
        <v>9</v>
      </c>
      <c r="G166" s="184">
        <v>8</v>
      </c>
      <c r="H166" s="185">
        <f t="shared" si="46"/>
        <v>2687.49</v>
      </c>
      <c r="I166" s="185">
        <f t="shared" si="44"/>
        <v>2669.98</v>
      </c>
      <c r="J166" s="186">
        <f t="shared" si="47"/>
        <v>21359.84</v>
      </c>
      <c r="K166" s="187">
        <f t="shared" si="41"/>
        <v>21499.919999999998</v>
      </c>
      <c r="L166" s="188">
        <f>+J166-K166</f>
        <v>-140.07999999999811</v>
      </c>
      <c r="M166" s="189">
        <f t="shared" si="48"/>
        <v>-11.481182227992445</v>
      </c>
      <c r="N166" s="190">
        <f t="shared" si="49"/>
        <v>-151.56118222799054</v>
      </c>
      <c r="O166" s="189">
        <v>0</v>
      </c>
      <c r="P166" s="189">
        <v>0</v>
      </c>
      <c r="Q166" s="189">
        <v>0</v>
      </c>
      <c r="R166" s="190">
        <f t="shared" si="50"/>
        <v>-151.56118222799054</v>
      </c>
    </row>
    <row r="167" spans="1:19" x14ac:dyDescent="0.25">
      <c r="A167" s="110">
        <v>4</v>
      </c>
      <c r="B167" s="181">
        <f t="shared" si="45"/>
        <v>45017</v>
      </c>
      <c r="C167" s="204">
        <f t="shared" si="51"/>
        <v>45049</v>
      </c>
      <c r="D167" s="204">
        <f t="shared" si="51"/>
        <v>45070</v>
      </c>
      <c r="E167" s="212" t="s">
        <v>55</v>
      </c>
      <c r="F167" s="221">
        <v>9</v>
      </c>
      <c r="G167" s="184">
        <v>8</v>
      </c>
      <c r="H167" s="185">
        <f t="shared" si="46"/>
        <v>2687.49</v>
      </c>
      <c r="I167" s="185">
        <f t="shared" si="44"/>
        <v>2669.98</v>
      </c>
      <c r="J167" s="186">
        <f t="shared" si="47"/>
        <v>21359.84</v>
      </c>
      <c r="K167" s="187">
        <f t="shared" si="41"/>
        <v>21499.919999999998</v>
      </c>
      <c r="L167" s="188">
        <f t="shared" ref="L167:L177" si="53">+J167-K167</f>
        <v>-140.07999999999811</v>
      </c>
      <c r="M167" s="189">
        <f t="shared" si="48"/>
        <v>-11.481182227992445</v>
      </c>
      <c r="N167" s="190">
        <f t="shared" si="49"/>
        <v>-151.56118222799054</v>
      </c>
      <c r="O167" s="189">
        <v>0</v>
      </c>
      <c r="P167" s="189">
        <v>0</v>
      </c>
      <c r="Q167" s="189">
        <v>0</v>
      </c>
      <c r="R167" s="190">
        <f t="shared" si="50"/>
        <v>-151.56118222799054</v>
      </c>
    </row>
    <row r="168" spans="1:19" x14ac:dyDescent="0.25">
      <c r="A168" s="146">
        <v>5</v>
      </c>
      <c r="B168" s="181">
        <f t="shared" si="45"/>
        <v>45047</v>
      </c>
      <c r="C168" s="204">
        <f t="shared" si="51"/>
        <v>45082</v>
      </c>
      <c r="D168" s="204">
        <f t="shared" si="51"/>
        <v>45103</v>
      </c>
      <c r="E168" s="212" t="s">
        <v>55</v>
      </c>
      <c r="F168" s="221">
        <v>9</v>
      </c>
      <c r="G168" s="184">
        <v>10</v>
      </c>
      <c r="H168" s="185">
        <f t="shared" si="46"/>
        <v>2687.49</v>
      </c>
      <c r="I168" s="185">
        <f t="shared" si="44"/>
        <v>2669.98</v>
      </c>
      <c r="J168" s="186">
        <f t="shared" si="47"/>
        <v>26699.8</v>
      </c>
      <c r="K168" s="187">
        <f t="shared" si="41"/>
        <v>26874.899999999998</v>
      </c>
      <c r="L168" s="188">
        <f t="shared" si="53"/>
        <v>-175.09999999999854</v>
      </c>
      <c r="M168" s="189">
        <f t="shared" si="48"/>
        <v>-14.351477784990559</v>
      </c>
      <c r="N168" s="190">
        <f t="shared" si="49"/>
        <v>-189.45147778498909</v>
      </c>
      <c r="O168" s="189">
        <v>0</v>
      </c>
      <c r="P168" s="189">
        <v>0</v>
      </c>
      <c r="Q168" s="189">
        <v>0</v>
      </c>
      <c r="R168" s="190">
        <f t="shared" si="50"/>
        <v>-189.45147778498909</v>
      </c>
    </row>
    <row r="169" spans="1:19" x14ac:dyDescent="0.25">
      <c r="A169" s="146">
        <v>6</v>
      </c>
      <c r="B169" s="181">
        <f t="shared" si="45"/>
        <v>45078</v>
      </c>
      <c r="C169" s="204">
        <f t="shared" si="51"/>
        <v>45112</v>
      </c>
      <c r="D169" s="204">
        <f t="shared" si="51"/>
        <v>45131</v>
      </c>
      <c r="E169" s="212" t="s">
        <v>55</v>
      </c>
      <c r="F169" s="221">
        <v>9</v>
      </c>
      <c r="G169" s="184">
        <v>12</v>
      </c>
      <c r="H169" s="185">
        <f t="shared" si="46"/>
        <v>2687.49</v>
      </c>
      <c r="I169" s="185">
        <f t="shared" si="44"/>
        <v>2669.98</v>
      </c>
      <c r="J169" s="186">
        <f t="shared" si="47"/>
        <v>32039.760000000002</v>
      </c>
      <c r="K169" s="187">
        <f t="shared" si="41"/>
        <v>32249.879999999997</v>
      </c>
      <c r="L169" s="192">
        <f t="shared" si="53"/>
        <v>-210.11999999999534</v>
      </c>
      <c r="M169" s="189">
        <f t="shared" si="48"/>
        <v>-17.221773341988669</v>
      </c>
      <c r="N169" s="190">
        <f t="shared" si="49"/>
        <v>-227.34177334198401</v>
      </c>
      <c r="O169" s="189">
        <v>0</v>
      </c>
      <c r="P169" s="189">
        <v>0</v>
      </c>
      <c r="Q169" s="189">
        <v>0</v>
      </c>
      <c r="R169" s="190">
        <f t="shared" si="50"/>
        <v>-227.34177334198401</v>
      </c>
    </row>
    <row r="170" spans="1:19" x14ac:dyDescent="0.25">
      <c r="A170" s="110">
        <v>7</v>
      </c>
      <c r="B170" s="181">
        <f t="shared" si="45"/>
        <v>45108</v>
      </c>
      <c r="C170" s="204">
        <f t="shared" si="51"/>
        <v>45141</v>
      </c>
      <c r="D170" s="204">
        <f t="shared" si="51"/>
        <v>45162</v>
      </c>
      <c r="E170" s="212" t="s">
        <v>55</v>
      </c>
      <c r="F170" s="221">
        <v>9</v>
      </c>
      <c r="G170" s="184">
        <v>14</v>
      </c>
      <c r="H170" s="185">
        <f t="shared" si="46"/>
        <v>2687.49</v>
      </c>
      <c r="I170" s="185">
        <f t="shared" si="44"/>
        <v>2669.98</v>
      </c>
      <c r="J170" s="186">
        <f t="shared" si="47"/>
        <v>37379.72</v>
      </c>
      <c r="K170" s="193">
        <f t="shared" si="41"/>
        <v>37624.86</v>
      </c>
      <c r="L170" s="192">
        <f t="shared" si="53"/>
        <v>-245.13999999999942</v>
      </c>
      <c r="M170" s="189">
        <f t="shared" si="48"/>
        <v>-20.092068898986781</v>
      </c>
      <c r="N170" s="190">
        <f t="shared" si="49"/>
        <v>-265.2320688989862</v>
      </c>
      <c r="O170" s="189">
        <v>0</v>
      </c>
      <c r="P170" s="189">
        <v>0</v>
      </c>
      <c r="Q170" s="189">
        <v>0</v>
      </c>
      <c r="R170" s="190">
        <f t="shared" si="50"/>
        <v>-265.2320688989862</v>
      </c>
    </row>
    <row r="171" spans="1:19" x14ac:dyDescent="0.25">
      <c r="A171" s="146">
        <v>8</v>
      </c>
      <c r="B171" s="181">
        <f t="shared" si="45"/>
        <v>45139</v>
      </c>
      <c r="C171" s="204">
        <f t="shared" si="51"/>
        <v>45174</v>
      </c>
      <c r="D171" s="204">
        <f t="shared" si="51"/>
        <v>45194</v>
      </c>
      <c r="E171" s="212" t="s">
        <v>55</v>
      </c>
      <c r="F171" s="133">
        <v>9</v>
      </c>
      <c r="G171" s="184">
        <v>13</v>
      </c>
      <c r="H171" s="185">
        <f t="shared" si="46"/>
        <v>2687.49</v>
      </c>
      <c r="I171" s="185">
        <f t="shared" si="44"/>
        <v>2669.98</v>
      </c>
      <c r="J171" s="186">
        <f t="shared" si="47"/>
        <v>34709.74</v>
      </c>
      <c r="K171" s="193">
        <f t="shared" si="41"/>
        <v>34937.369999999995</v>
      </c>
      <c r="L171" s="192">
        <f t="shared" si="53"/>
        <v>-227.62999999999738</v>
      </c>
      <c r="M171" s="189">
        <f t="shared" si="48"/>
        <v>-18.656921120487723</v>
      </c>
      <c r="N171" s="190">
        <f t="shared" si="49"/>
        <v>-246.28692112048509</v>
      </c>
      <c r="O171" s="189">
        <v>0</v>
      </c>
      <c r="P171" s="189">
        <v>0</v>
      </c>
      <c r="Q171" s="189">
        <v>0</v>
      </c>
      <c r="R171" s="190">
        <f t="shared" si="50"/>
        <v>-246.28692112048509</v>
      </c>
      <c r="S171" s="50"/>
    </row>
    <row r="172" spans="1:19" x14ac:dyDescent="0.25">
      <c r="A172" s="146">
        <v>9</v>
      </c>
      <c r="B172" s="181">
        <f t="shared" si="45"/>
        <v>45170</v>
      </c>
      <c r="C172" s="204">
        <f t="shared" ref="C172:D175" si="54">+C160</f>
        <v>45203</v>
      </c>
      <c r="D172" s="204">
        <f t="shared" si="54"/>
        <v>45223</v>
      </c>
      <c r="E172" s="212" t="s">
        <v>55</v>
      </c>
      <c r="F172" s="133">
        <v>9</v>
      </c>
      <c r="G172" s="184">
        <v>13</v>
      </c>
      <c r="H172" s="185">
        <f t="shared" si="46"/>
        <v>2687.49</v>
      </c>
      <c r="I172" s="185">
        <f t="shared" si="44"/>
        <v>2669.98</v>
      </c>
      <c r="J172" s="186">
        <f t="shared" si="47"/>
        <v>34709.74</v>
      </c>
      <c r="K172" s="193">
        <f t="shared" si="41"/>
        <v>34937.369999999995</v>
      </c>
      <c r="L172" s="192">
        <f t="shared" si="53"/>
        <v>-227.62999999999738</v>
      </c>
      <c r="M172" s="189">
        <f t="shared" si="48"/>
        <v>-18.656921120487723</v>
      </c>
      <c r="N172" s="190">
        <f t="shared" si="49"/>
        <v>-246.28692112048509</v>
      </c>
      <c r="O172" s="189">
        <v>0</v>
      </c>
      <c r="P172" s="189">
        <v>0</v>
      </c>
      <c r="Q172" s="189">
        <v>0</v>
      </c>
      <c r="R172" s="190">
        <f t="shared" si="50"/>
        <v>-246.28692112048509</v>
      </c>
    </row>
    <row r="173" spans="1:19" x14ac:dyDescent="0.25">
      <c r="A173" s="110">
        <v>10</v>
      </c>
      <c r="B173" s="181">
        <f t="shared" si="45"/>
        <v>45200</v>
      </c>
      <c r="C173" s="204">
        <f t="shared" si="54"/>
        <v>45233</v>
      </c>
      <c r="D173" s="204">
        <f t="shared" si="54"/>
        <v>45254</v>
      </c>
      <c r="E173" s="212" t="s">
        <v>55</v>
      </c>
      <c r="F173" s="133">
        <v>9</v>
      </c>
      <c r="G173" s="184">
        <v>11</v>
      </c>
      <c r="H173" s="185">
        <f t="shared" si="46"/>
        <v>2687.49</v>
      </c>
      <c r="I173" s="185">
        <f t="shared" si="44"/>
        <v>2669.98</v>
      </c>
      <c r="J173" s="186">
        <f t="shared" si="47"/>
        <v>29369.78</v>
      </c>
      <c r="K173" s="193">
        <f t="shared" si="41"/>
        <v>29562.39</v>
      </c>
      <c r="L173" s="192">
        <f t="shared" si="53"/>
        <v>-192.61000000000058</v>
      </c>
      <c r="M173" s="189">
        <f t="shared" si="48"/>
        <v>-15.786625563489615</v>
      </c>
      <c r="N173" s="190">
        <f t="shared" si="49"/>
        <v>-208.3966255634902</v>
      </c>
      <c r="O173" s="189">
        <v>0</v>
      </c>
      <c r="P173" s="189">
        <v>0</v>
      </c>
      <c r="Q173" s="189">
        <v>0</v>
      </c>
      <c r="R173" s="190">
        <f t="shared" si="50"/>
        <v>-208.3966255634902</v>
      </c>
    </row>
    <row r="174" spans="1:19" x14ac:dyDescent="0.25">
      <c r="A174" s="146">
        <v>11</v>
      </c>
      <c r="B174" s="181">
        <f t="shared" si="45"/>
        <v>45231</v>
      </c>
      <c r="C174" s="204">
        <f t="shared" si="54"/>
        <v>45266</v>
      </c>
      <c r="D174" s="204">
        <f t="shared" si="54"/>
        <v>45285</v>
      </c>
      <c r="E174" s="212" t="s">
        <v>55</v>
      </c>
      <c r="F174" s="133">
        <v>9</v>
      </c>
      <c r="G174" s="184">
        <v>7</v>
      </c>
      <c r="H174" s="185">
        <f t="shared" si="46"/>
        <v>2687.49</v>
      </c>
      <c r="I174" s="185">
        <f t="shared" si="44"/>
        <v>2669.98</v>
      </c>
      <c r="J174" s="186">
        <f t="shared" si="47"/>
        <v>18689.86</v>
      </c>
      <c r="K174" s="193">
        <f t="shared" si="41"/>
        <v>18812.43</v>
      </c>
      <c r="L174" s="192">
        <f t="shared" si="53"/>
        <v>-122.56999999999971</v>
      </c>
      <c r="M174" s="189">
        <f t="shared" si="48"/>
        <v>-10.046034449493391</v>
      </c>
      <c r="N174" s="190">
        <f t="shared" si="49"/>
        <v>-132.6160344494931</v>
      </c>
      <c r="O174" s="189">
        <v>0</v>
      </c>
      <c r="P174" s="189">
        <v>0</v>
      </c>
      <c r="Q174" s="189">
        <v>0</v>
      </c>
      <c r="R174" s="190">
        <f t="shared" si="50"/>
        <v>-132.6160344494931</v>
      </c>
    </row>
    <row r="175" spans="1:19" s="208" customFormat="1" x14ac:dyDescent="0.25">
      <c r="A175" s="146">
        <v>12</v>
      </c>
      <c r="B175" s="206">
        <f t="shared" si="45"/>
        <v>45261</v>
      </c>
      <c r="C175" s="204">
        <f t="shared" si="54"/>
        <v>45294</v>
      </c>
      <c r="D175" s="204">
        <f t="shared" si="54"/>
        <v>45315</v>
      </c>
      <c r="E175" s="213" t="s">
        <v>55</v>
      </c>
      <c r="F175" s="223">
        <v>9</v>
      </c>
      <c r="G175" s="196">
        <v>8</v>
      </c>
      <c r="H175" s="197">
        <f t="shared" si="46"/>
        <v>2687.49</v>
      </c>
      <c r="I175" s="197">
        <f t="shared" si="44"/>
        <v>2669.98</v>
      </c>
      <c r="J175" s="198">
        <f t="shared" si="47"/>
        <v>21359.84</v>
      </c>
      <c r="K175" s="199">
        <f t="shared" si="41"/>
        <v>21499.919999999998</v>
      </c>
      <c r="L175" s="200">
        <f t="shared" si="53"/>
        <v>-140.07999999999811</v>
      </c>
      <c r="M175" s="189">
        <f t="shared" si="48"/>
        <v>-11.481182227992445</v>
      </c>
      <c r="N175" s="190">
        <f t="shared" si="49"/>
        <v>-151.56118222799054</v>
      </c>
      <c r="O175" s="189">
        <v>0</v>
      </c>
      <c r="P175" s="189">
        <v>0</v>
      </c>
      <c r="Q175" s="189">
        <v>0</v>
      </c>
      <c r="R175" s="190">
        <f t="shared" si="50"/>
        <v>-151.56118222799054</v>
      </c>
    </row>
    <row r="176" spans="1:19" x14ac:dyDescent="0.25">
      <c r="A176" s="110">
        <v>1</v>
      </c>
      <c r="B176" s="181">
        <f t="shared" si="45"/>
        <v>44927</v>
      </c>
      <c r="C176" s="202">
        <f t="shared" ref="C176:D187" si="55">+C152</f>
        <v>44960</v>
      </c>
      <c r="D176" s="202">
        <f t="shared" si="55"/>
        <v>44981</v>
      </c>
      <c r="E176" s="211" t="s">
        <v>56</v>
      </c>
      <c r="F176" s="221">
        <v>9</v>
      </c>
      <c r="G176" s="184">
        <v>21</v>
      </c>
      <c r="H176" s="185">
        <f t="shared" si="46"/>
        <v>2687.49</v>
      </c>
      <c r="I176" s="185">
        <f t="shared" si="44"/>
        <v>2669.98</v>
      </c>
      <c r="J176" s="186">
        <f t="shared" si="47"/>
        <v>56069.58</v>
      </c>
      <c r="K176" s="187">
        <f t="shared" si="41"/>
        <v>56437.289999999994</v>
      </c>
      <c r="L176" s="188">
        <f t="shared" si="53"/>
        <v>-367.70999999999185</v>
      </c>
      <c r="M176" s="189">
        <f t="shared" si="48"/>
        <v>-30.138103348480172</v>
      </c>
      <c r="N176" s="190">
        <f t="shared" si="49"/>
        <v>-397.84810334847202</v>
      </c>
      <c r="O176" s="189">
        <v>0</v>
      </c>
      <c r="P176" s="189">
        <v>0</v>
      </c>
      <c r="Q176" s="189">
        <v>0</v>
      </c>
      <c r="R176" s="190">
        <f t="shared" si="50"/>
        <v>-397.84810334847202</v>
      </c>
    </row>
    <row r="177" spans="1:18" x14ac:dyDescent="0.25">
      <c r="A177" s="146">
        <v>2</v>
      </c>
      <c r="B177" s="181">
        <f t="shared" si="45"/>
        <v>44958</v>
      </c>
      <c r="C177" s="204">
        <f t="shared" si="55"/>
        <v>44988</v>
      </c>
      <c r="D177" s="204">
        <f t="shared" si="55"/>
        <v>45009</v>
      </c>
      <c r="E177" s="52" t="s">
        <v>56</v>
      </c>
      <c r="F177" s="221">
        <v>9</v>
      </c>
      <c r="G177" s="184">
        <v>21</v>
      </c>
      <c r="H177" s="185">
        <f t="shared" si="46"/>
        <v>2687.49</v>
      </c>
      <c r="I177" s="185">
        <f t="shared" si="44"/>
        <v>2669.98</v>
      </c>
      <c r="J177" s="186">
        <f t="shared" si="47"/>
        <v>56069.58</v>
      </c>
      <c r="K177" s="187">
        <f t="shared" si="41"/>
        <v>56437.289999999994</v>
      </c>
      <c r="L177" s="188">
        <f t="shared" si="53"/>
        <v>-367.70999999999185</v>
      </c>
      <c r="M177" s="189">
        <f t="shared" si="48"/>
        <v>-30.138103348480172</v>
      </c>
      <c r="N177" s="190">
        <f t="shared" si="49"/>
        <v>-397.84810334847202</v>
      </c>
      <c r="O177" s="189">
        <v>0</v>
      </c>
      <c r="P177" s="189">
        <v>0</v>
      </c>
      <c r="Q177" s="189">
        <v>0</v>
      </c>
      <c r="R177" s="190">
        <f t="shared" si="50"/>
        <v>-397.84810334847202</v>
      </c>
    </row>
    <row r="178" spans="1:18" x14ac:dyDescent="0.25">
      <c r="A178" s="146">
        <v>3</v>
      </c>
      <c r="B178" s="181">
        <f t="shared" si="45"/>
        <v>44986</v>
      </c>
      <c r="C178" s="204">
        <f t="shared" si="55"/>
        <v>45021</v>
      </c>
      <c r="D178" s="204">
        <f t="shared" si="55"/>
        <v>45040</v>
      </c>
      <c r="E178" s="52" t="s">
        <v>56</v>
      </c>
      <c r="F178" s="221">
        <v>9</v>
      </c>
      <c r="G178" s="184">
        <v>19</v>
      </c>
      <c r="H178" s="185">
        <f t="shared" si="46"/>
        <v>2687.49</v>
      </c>
      <c r="I178" s="185">
        <f t="shared" si="44"/>
        <v>2669.98</v>
      </c>
      <c r="J178" s="186">
        <f t="shared" si="47"/>
        <v>50729.62</v>
      </c>
      <c r="K178" s="187">
        <f t="shared" si="41"/>
        <v>51062.31</v>
      </c>
      <c r="L178" s="188">
        <f>+J178-K178</f>
        <v>-332.68999999999505</v>
      </c>
      <c r="M178" s="189">
        <f t="shared" si="48"/>
        <v>-27.267807791482063</v>
      </c>
      <c r="N178" s="190">
        <f t="shared" si="49"/>
        <v>-359.95780779147714</v>
      </c>
      <c r="O178" s="189">
        <v>0</v>
      </c>
      <c r="P178" s="189">
        <v>0</v>
      </c>
      <c r="Q178" s="189">
        <v>0</v>
      </c>
      <c r="R178" s="190">
        <f t="shared" si="50"/>
        <v>-359.95780779147714</v>
      </c>
    </row>
    <row r="179" spans="1:18" x14ac:dyDescent="0.25">
      <c r="A179" s="110">
        <v>4</v>
      </c>
      <c r="B179" s="181">
        <f t="shared" si="45"/>
        <v>45017</v>
      </c>
      <c r="C179" s="204">
        <f t="shared" si="55"/>
        <v>45049</v>
      </c>
      <c r="D179" s="204">
        <f t="shared" si="55"/>
        <v>45070</v>
      </c>
      <c r="E179" s="52" t="s">
        <v>56</v>
      </c>
      <c r="F179" s="221">
        <v>9</v>
      </c>
      <c r="G179" s="184">
        <v>21</v>
      </c>
      <c r="H179" s="185">
        <f t="shared" si="46"/>
        <v>2687.49</v>
      </c>
      <c r="I179" s="185">
        <f t="shared" si="44"/>
        <v>2669.98</v>
      </c>
      <c r="J179" s="186">
        <f t="shared" si="47"/>
        <v>56069.58</v>
      </c>
      <c r="K179" s="187">
        <f t="shared" si="41"/>
        <v>56437.289999999994</v>
      </c>
      <c r="L179" s="188">
        <f t="shared" ref="L179:L189" si="56">+J179-K179</f>
        <v>-367.70999999999185</v>
      </c>
      <c r="M179" s="189">
        <f t="shared" si="48"/>
        <v>-30.138103348480172</v>
      </c>
      <c r="N179" s="190">
        <f t="shared" si="49"/>
        <v>-397.84810334847202</v>
      </c>
      <c r="O179" s="189">
        <v>0</v>
      </c>
      <c r="P179" s="189">
        <v>0</v>
      </c>
      <c r="Q179" s="189">
        <v>0</v>
      </c>
      <c r="R179" s="190">
        <f t="shared" si="50"/>
        <v>-397.84810334847202</v>
      </c>
    </row>
    <row r="180" spans="1:18" x14ac:dyDescent="0.25">
      <c r="A180" s="146">
        <v>5</v>
      </c>
      <c r="B180" s="181">
        <f t="shared" si="45"/>
        <v>45047</v>
      </c>
      <c r="C180" s="204">
        <f t="shared" si="55"/>
        <v>45082</v>
      </c>
      <c r="D180" s="204">
        <f t="shared" si="55"/>
        <v>45103</v>
      </c>
      <c r="E180" s="52" t="s">
        <v>56</v>
      </c>
      <c r="F180" s="221">
        <v>9</v>
      </c>
      <c r="G180" s="184">
        <v>28</v>
      </c>
      <c r="H180" s="185">
        <f t="shared" si="46"/>
        <v>2687.49</v>
      </c>
      <c r="I180" s="185">
        <f t="shared" ref="I180:I211" si="57">$J$3</f>
        <v>2669.98</v>
      </c>
      <c r="J180" s="186">
        <f t="shared" si="47"/>
        <v>74759.44</v>
      </c>
      <c r="K180" s="187">
        <f t="shared" si="41"/>
        <v>75249.72</v>
      </c>
      <c r="L180" s="188">
        <f t="shared" si="56"/>
        <v>-490.27999999999884</v>
      </c>
      <c r="M180" s="189">
        <f t="shared" si="48"/>
        <v>-40.184137797973563</v>
      </c>
      <c r="N180" s="190">
        <f t="shared" si="49"/>
        <v>-530.4641377979724</v>
      </c>
      <c r="O180" s="189">
        <v>0</v>
      </c>
      <c r="P180" s="189">
        <v>0</v>
      </c>
      <c r="Q180" s="189">
        <v>0</v>
      </c>
      <c r="R180" s="190">
        <f t="shared" si="50"/>
        <v>-530.4641377979724</v>
      </c>
    </row>
    <row r="181" spans="1:18" x14ac:dyDescent="0.25">
      <c r="A181" s="146">
        <v>6</v>
      </c>
      <c r="B181" s="181">
        <f t="shared" si="45"/>
        <v>45078</v>
      </c>
      <c r="C181" s="204">
        <f t="shared" si="55"/>
        <v>45112</v>
      </c>
      <c r="D181" s="204">
        <f t="shared" si="55"/>
        <v>45131</v>
      </c>
      <c r="E181" s="52" t="s">
        <v>56</v>
      </c>
      <c r="F181" s="221">
        <v>9</v>
      </c>
      <c r="G181" s="184">
        <v>37</v>
      </c>
      <c r="H181" s="185">
        <f t="shared" si="46"/>
        <v>2687.49</v>
      </c>
      <c r="I181" s="185">
        <f t="shared" si="57"/>
        <v>2669.98</v>
      </c>
      <c r="J181" s="186">
        <f t="shared" si="47"/>
        <v>98789.26</v>
      </c>
      <c r="K181" s="187">
        <f t="shared" si="41"/>
        <v>99437.12999999999</v>
      </c>
      <c r="L181" s="192">
        <f t="shared" si="56"/>
        <v>-647.86999999999534</v>
      </c>
      <c r="M181" s="189">
        <f t="shared" si="48"/>
        <v>-53.100467804465062</v>
      </c>
      <c r="N181" s="190">
        <f t="shared" si="49"/>
        <v>-700.97046780446044</v>
      </c>
      <c r="O181" s="189">
        <v>0</v>
      </c>
      <c r="P181" s="189">
        <v>0</v>
      </c>
      <c r="Q181" s="189">
        <v>0</v>
      </c>
      <c r="R181" s="190">
        <f t="shared" si="50"/>
        <v>-700.97046780446044</v>
      </c>
    </row>
    <row r="182" spans="1:18" x14ac:dyDescent="0.25">
      <c r="A182" s="110">
        <v>7</v>
      </c>
      <c r="B182" s="181">
        <f t="shared" si="45"/>
        <v>45108</v>
      </c>
      <c r="C182" s="204">
        <f t="shared" si="55"/>
        <v>45141</v>
      </c>
      <c r="D182" s="204">
        <f t="shared" si="55"/>
        <v>45162</v>
      </c>
      <c r="E182" s="52" t="s">
        <v>56</v>
      </c>
      <c r="F182" s="221">
        <v>9</v>
      </c>
      <c r="G182" s="184">
        <v>38</v>
      </c>
      <c r="H182" s="185">
        <f t="shared" si="46"/>
        <v>2687.49</v>
      </c>
      <c r="I182" s="185">
        <f t="shared" si="57"/>
        <v>2669.98</v>
      </c>
      <c r="J182" s="186">
        <f t="shared" si="47"/>
        <v>101459.24</v>
      </c>
      <c r="K182" s="193">
        <f t="shared" si="41"/>
        <v>102124.62</v>
      </c>
      <c r="L182" s="192">
        <f t="shared" si="56"/>
        <v>-665.3799999999901</v>
      </c>
      <c r="M182" s="189">
        <f t="shared" si="48"/>
        <v>-54.535615582964127</v>
      </c>
      <c r="N182" s="190">
        <f t="shared" si="49"/>
        <v>-719.91561558295427</v>
      </c>
      <c r="O182" s="189">
        <v>0</v>
      </c>
      <c r="P182" s="189">
        <v>0</v>
      </c>
      <c r="Q182" s="189">
        <v>0</v>
      </c>
      <c r="R182" s="190">
        <f t="shared" si="50"/>
        <v>-719.91561558295427</v>
      </c>
    </row>
    <row r="183" spans="1:18" x14ac:dyDescent="0.25">
      <c r="A183" s="146">
        <v>8</v>
      </c>
      <c r="B183" s="181">
        <f t="shared" si="45"/>
        <v>45139</v>
      </c>
      <c r="C183" s="204">
        <f t="shared" si="55"/>
        <v>45174</v>
      </c>
      <c r="D183" s="204">
        <f t="shared" si="55"/>
        <v>45194</v>
      </c>
      <c r="E183" s="52" t="s">
        <v>56</v>
      </c>
      <c r="F183" s="221">
        <v>9</v>
      </c>
      <c r="G183" s="184">
        <v>40</v>
      </c>
      <c r="H183" s="185">
        <f t="shared" si="46"/>
        <v>2687.49</v>
      </c>
      <c r="I183" s="185">
        <f t="shared" si="57"/>
        <v>2669.98</v>
      </c>
      <c r="J183" s="186">
        <f t="shared" si="47"/>
        <v>106799.2</v>
      </c>
      <c r="K183" s="193">
        <f t="shared" si="41"/>
        <v>107499.59999999999</v>
      </c>
      <c r="L183" s="192">
        <f t="shared" si="56"/>
        <v>-700.39999999999418</v>
      </c>
      <c r="M183" s="189">
        <f t="shared" si="48"/>
        <v>-57.405911139962235</v>
      </c>
      <c r="N183" s="190">
        <f t="shared" si="49"/>
        <v>-757.80591113995638</v>
      </c>
      <c r="O183" s="189">
        <v>0</v>
      </c>
      <c r="P183" s="189">
        <v>0</v>
      </c>
      <c r="Q183" s="189">
        <v>0</v>
      </c>
      <c r="R183" s="190">
        <f t="shared" si="50"/>
        <v>-757.80591113995638</v>
      </c>
    </row>
    <row r="184" spans="1:18" x14ac:dyDescent="0.25">
      <c r="A184" s="146">
        <v>9</v>
      </c>
      <c r="B184" s="181">
        <f t="shared" si="45"/>
        <v>45170</v>
      </c>
      <c r="C184" s="204">
        <f t="shared" si="55"/>
        <v>45203</v>
      </c>
      <c r="D184" s="204">
        <f t="shared" si="55"/>
        <v>45223</v>
      </c>
      <c r="E184" s="52" t="s">
        <v>56</v>
      </c>
      <c r="F184" s="221">
        <v>9</v>
      </c>
      <c r="G184" s="184">
        <v>37</v>
      </c>
      <c r="H184" s="185">
        <f t="shared" si="46"/>
        <v>2687.49</v>
      </c>
      <c r="I184" s="185">
        <f t="shared" si="57"/>
        <v>2669.98</v>
      </c>
      <c r="J184" s="186">
        <f t="shared" si="47"/>
        <v>98789.26</v>
      </c>
      <c r="K184" s="193">
        <f t="shared" si="41"/>
        <v>99437.12999999999</v>
      </c>
      <c r="L184" s="192">
        <f t="shared" si="56"/>
        <v>-647.86999999999534</v>
      </c>
      <c r="M184" s="189">
        <f t="shared" si="48"/>
        <v>-53.100467804465062</v>
      </c>
      <c r="N184" s="190">
        <f t="shared" si="49"/>
        <v>-700.97046780446044</v>
      </c>
      <c r="O184" s="189">
        <v>0</v>
      </c>
      <c r="P184" s="189">
        <v>0</v>
      </c>
      <c r="Q184" s="189">
        <v>0</v>
      </c>
      <c r="R184" s="190">
        <f t="shared" si="50"/>
        <v>-700.97046780446044</v>
      </c>
    </row>
    <row r="185" spans="1:18" x14ac:dyDescent="0.25">
      <c r="A185" s="110">
        <v>10</v>
      </c>
      <c r="B185" s="181">
        <f t="shared" si="45"/>
        <v>45200</v>
      </c>
      <c r="C185" s="204">
        <f t="shared" si="55"/>
        <v>45233</v>
      </c>
      <c r="D185" s="204">
        <f t="shared" si="55"/>
        <v>45254</v>
      </c>
      <c r="E185" s="52" t="s">
        <v>56</v>
      </c>
      <c r="F185" s="221">
        <v>9</v>
      </c>
      <c r="G185" s="184">
        <v>30</v>
      </c>
      <c r="H185" s="185">
        <f t="shared" si="46"/>
        <v>2687.49</v>
      </c>
      <c r="I185" s="185">
        <f t="shared" si="57"/>
        <v>2669.98</v>
      </c>
      <c r="J185" s="186">
        <f t="shared" si="47"/>
        <v>80099.399999999994</v>
      </c>
      <c r="K185" s="193">
        <f t="shared" si="41"/>
        <v>80624.7</v>
      </c>
      <c r="L185" s="192">
        <f t="shared" si="56"/>
        <v>-525.30000000000291</v>
      </c>
      <c r="M185" s="189">
        <f t="shared" si="48"/>
        <v>-43.054433354971671</v>
      </c>
      <c r="N185" s="190">
        <f t="shared" si="49"/>
        <v>-568.35443335497462</v>
      </c>
      <c r="O185" s="189">
        <v>0</v>
      </c>
      <c r="P185" s="189">
        <v>0</v>
      </c>
      <c r="Q185" s="189">
        <v>0</v>
      </c>
      <c r="R185" s="190">
        <f t="shared" si="50"/>
        <v>-568.35443335497462</v>
      </c>
    </row>
    <row r="186" spans="1:18" x14ac:dyDescent="0.25">
      <c r="A186" s="146">
        <v>11</v>
      </c>
      <c r="B186" s="181">
        <f t="shared" si="45"/>
        <v>45231</v>
      </c>
      <c r="C186" s="204">
        <f t="shared" si="55"/>
        <v>45266</v>
      </c>
      <c r="D186" s="204">
        <f t="shared" si="55"/>
        <v>45285</v>
      </c>
      <c r="E186" s="52" t="s">
        <v>56</v>
      </c>
      <c r="F186" s="221">
        <v>9</v>
      </c>
      <c r="G186" s="184">
        <v>19</v>
      </c>
      <c r="H186" s="185">
        <f t="shared" si="46"/>
        <v>2687.49</v>
      </c>
      <c r="I186" s="185">
        <f t="shared" si="57"/>
        <v>2669.98</v>
      </c>
      <c r="J186" s="186">
        <f t="shared" si="47"/>
        <v>50729.62</v>
      </c>
      <c r="K186" s="193">
        <f t="shared" si="41"/>
        <v>51062.31</v>
      </c>
      <c r="L186" s="192">
        <f t="shared" si="56"/>
        <v>-332.68999999999505</v>
      </c>
      <c r="M186" s="189">
        <f t="shared" si="48"/>
        <v>-27.267807791482063</v>
      </c>
      <c r="N186" s="190">
        <f t="shared" si="49"/>
        <v>-359.95780779147714</v>
      </c>
      <c r="O186" s="189">
        <v>0</v>
      </c>
      <c r="P186" s="189">
        <v>0</v>
      </c>
      <c r="Q186" s="189">
        <v>0</v>
      </c>
      <c r="R186" s="190">
        <f t="shared" si="50"/>
        <v>-359.95780779147714</v>
      </c>
    </row>
    <row r="187" spans="1:18" s="208" customFormat="1" x14ac:dyDescent="0.25">
      <c r="A187" s="146">
        <v>12</v>
      </c>
      <c r="B187" s="206">
        <f t="shared" si="45"/>
        <v>45261</v>
      </c>
      <c r="C187" s="204">
        <f t="shared" si="55"/>
        <v>45294</v>
      </c>
      <c r="D187" s="204">
        <f t="shared" si="55"/>
        <v>45315</v>
      </c>
      <c r="E187" s="207" t="s">
        <v>56</v>
      </c>
      <c r="F187" s="223">
        <v>9</v>
      </c>
      <c r="G187" s="196">
        <v>20</v>
      </c>
      <c r="H187" s="197">
        <f t="shared" si="46"/>
        <v>2687.49</v>
      </c>
      <c r="I187" s="197">
        <f t="shared" si="57"/>
        <v>2669.98</v>
      </c>
      <c r="J187" s="198">
        <f t="shared" si="47"/>
        <v>53399.6</v>
      </c>
      <c r="K187" s="199">
        <f t="shared" si="41"/>
        <v>53749.799999999996</v>
      </c>
      <c r="L187" s="200">
        <f t="shared" si="56"/>
        <v>-350.19999999999709</v>
      </c>
      <c r="M187" s="189">
        <f t="shared" si="48"/>
        <v>-28.702955569981118</v>
      </c>
      <c r="N187" s="190">
        <f t="shared" si="49"/>
        <v>-378.90295556997819</v>
      </c>
      <c r="O187" s="189">
        <v>0</v>
      </c>
      <c r="P187" s="189">
        <v>0</v>
      </c>
      <c r="Q187" s="189">
        <v>0</v>
      </c>
      <c r="R187" s="190">
        <f t="shared" si="50"/>
        <v>-378.90295556997819</v>
      </c>
    </row>
    <row r="188" spans="1:18" x14ac:dyDescent="0.25">
      <c r="A188" s="110">
        <v>1</v>
      </c>
      <c r="B188" s="181">
        <f t="shared" si="45"/>
        <v>44927</v>
      </c>
      <c r="C188" s="202">
        <f t="shared" ref="C188:D211" si="58">+C176</f>
        <v>44960</v>
      </c>
      <c r="D188" s="202">
        <f t="shared" si="58"/>
        <v>44981</v>
      </c>
      <c r="E188" s="183" t="s">
        <v>57</v>
      </c>
      <c r="F188" s="133">
        <v>9</v>
      </c>
      <c r="G188" s="184">
        <v>36</v>
      </c>
      <c r="H188" s="185">
        <f t="shared" si="46"/>
        <v>2687.49</v>
      </c>
      <c r="I188" s="185">
        <f t="shared" si="57"/>
        <v>2669.98</v>
      </c>
      <c r="J188" s="186">
        <f t="shared" si="47"/>
        <v>96119.28</v>
      </c>
      <c r="K188" s="187">
        <f t="shared" si="41"/>
        <v>96749.639999999985</v>
      </c>
      <c r="L188" s="188">
        <f t="shared" si="56"/>
        <v>-630.35999999998603</v>
      </c>
      <c r="M188" s="189">
        <f t="shared" si="48"/>
        <v>-51.665320025966011</v>
      </c>
      <c r="N188" s="190">
        <f t="shared" si="49"/>
        <v>-682.02532002595206</v>
      </c>
      <c r="O188" s="189">
        <v>0</v>
      </c>
      <c r="P188" s="189">
        <v>0</v>
      </c>
      <c r="Q188" s="189">
        <v>0</v>
      </c>
      <c r="R188" s="190">
        <f t="shared" si="50"/>
        <v>-682.02532002595206</v>
      </c>
    </row>
    <row r="189" spans="1:18" x14ac:dyDescent="0.25">
      <c r="A189" s="146">
        <v>2</v>
      </c>
      <c r="B189" s="181">
        <f t="shared" si="45"/>
        <v>44958</v>
      </c>
      <c r="C189" s="204">
        <f t="shared" si="58"/>
        <v>44988</v>
      </c>
      <c r="D189" s="204">
        <f t="shared" si="58"/>
        <v>45009</v>
      </c>
      <c r="E189" s="191" t="s">
        <v>57</v>
      </c>
      <c r="F189" s="221">
        <v>9</v>
      </c>
      <c r="G189" s="184">
        <v>32</v>
      </c>
      <c r="H189" s="185">
        <f t="shared" si="46"/>
        <v>2687.49</v>
      </c>
      <c r="I189" s="185">
        <f t="shared" si="57"/>
        <v>2669.98</v>
      </c>
      <c r="J189" s="186">
        <f t="shared" si="47"/>
        <v>85439.360000000001</v>
      </c>
      <c r="K189" s="187">
        <f t="shared" si="41"/>
        <v>85999.679999999993</v>
      </c>
      <c r="L189" s="188">
        <f t="shared" si="56"/>
        <v>-560.31999999999243</v>
      </c>
      <c r="M189" s="189">
        <f t="shared" si="48"/>
        <v>-45.92472891196978</v>
      </c>
      <c r="N189" s="190">
        <f t="shared" si="49"/>
        <v>-606.24472891196217</v>
      </c>
      <c r="O189" s="189">
        <v>0</v>
      </c>
      <c r="P189" s="189">
        <v>0</v>
      </c>
      <c r="Q189" s="189">
        <v>0</v>
      </c>
      <c r="R189" s="190">
        <f t="shared" si="50"/>
        <v>-606.24472891196217</v>
      </c>
    </row>
    <row r="190" spans="1:18" x14ac:dyDescent="0.25">
      <c r="A190" s="146">
        <v>3</v>
      </c>
      <c r="B190" s="181">
        <f t="shared" si="45"/>
        <v>44986</v>
      </c>
      <c r="C190" s="204">
        <f t="shared" si="58"/>
        <v>45021</v>
      </c>
      <c r="D190" s="204">
        <f t="shared" si="58"/>
        <v>45040</v>
      </c>
      <c r="E190" s="191" t="s">
        <v>57</v>
      </c>
      <c r="F190" s="221">
        <v>9</v>
      </c>
      <c r="G190" s="184">
        <v>32</v>
      </c>
      <c r="H190" s="185">
        <f t="shared" si="46"/>
        <v>2687.49</v>
      </c>
      <c r="I190" s="185">
        <f t="shared" si="57"/>
        <v>2669.98</v>
      </c>
      <c r="J190" s="186">
        <f t="shared" si="47"/>
        <v>85439.360000000001</v>
      </c>
      <c r="K190" s="187">
        <f t="shared" si="41"/>
        <v>85999.679999999993</v>
      </c>
      <c r="L190" s="188">
        <f>+J190-K190</f>
        <v>-560.31999999999243</v>
      </c>
      <c r="M190" s="189">
        <f t="shared" si="48"/>
        <v>-45.92472891196978</v>
      </c>
      <c r="N190" s="190">
        <f t="shared" si="49"/>
        <v>-606.24472891196217</v>
      </c>
      <c r="O190" s="189">
        <v>0</v>
      </c>
      <c r="P190" s="189">
        <v>0</v>
      </c>
      <c r="Q190" s="189">
        <v>0</v>
      </c>
      <c r="R190" s="190">
        <f t="shared" si="50"/>
        <v>-606.24472891196217</v>
      </c>
    </row>
    <row r="191" spans="1:18" x14ac:dyDescent="0.25">
      <c r="A191" s="110">
        <v>4</v>
      </c>
      <c r="B191" s="181">
        <f t="shared" si="45"/>
        <v>45017</v>
      </c>
      <c r="C191" s="204">
        <f t="shared" si="58"/>
        <v>45049</v>
      </c>
      <c r="D191" s="204">
        <f t="shared" si="58"/>
        <v>45070</v>
      </c>
      <c r="E191" s="52" t="s">
        <v>57</v>
      </c>
      <c r="F191" s="221">
        <v>9</v>
      </c>
      <c r="G191" s="184">
        <v>31</v>
      </c>
      <c r="H191" s="185">
        <f t="shared" si="46"/>
        <v>2687.49</v>
      </c>
      <c r="I191" s="185">
        <f t="shared" si="57"/>
        <v>2669.98</v>
      </c>
      <c r="J191" s="186">
        <f t="shared" si="47"/>
        <v>82769.38</v>
      </c>
      <c r="K191" s="187">
        <f t="shared" si="41"/>
        <v>83312.189999999988</v>
      </c>
      <c r="L191" s="188">
        <f t="shared" ref="L191:L201" si="59">+J191-K191</f>
        <v>-542.80999999998312</v>
      </c>
      <c r="M191" s="189">
        <f t="shared" si="48"/>
        <v>-44.489581133470729</v>
      </c>
      <c r="N191" s="190">
        <f t="shared" si="49"/>
        <v>-587.2995811334539</v>
      </c>
      <c r="O191" s="189">
        <v>0</v>
      </c>
      <c r="P191" s="189">
        <v>0</v>
      </c>
      <c r="Q191" s="189">
        <v>0</v>
      </c>
      <c r="R191" s="190">
        <f t="shared" si="50"/>
        <v>-587.2995811334539</v>
      </c>
    </row>
    <row r="192" spans="1:18" x14ac:dyDescent="0.25">
      <c r="A192" s="146">
        <v>5</v>
      </c>
      <c r="B192" s="181">
        <f t="shared" si="45"/>
        <v>45047</v>
      </c>
      <c r="C192" s="204">
        <f t="shared" si="58"/>
        <v>45082</v>
      </c>
      <c r="D192" s="204">
        <f t="shared" si="58"/>
        <v>45103</v>
      </c>
      <c r="E192" s="52" t="s">
        <v>57</v>
      </c>
      <c r="F192" s="221">
        <v>9</v>
      </c>
      <c r="G192" s="184">
        <v>38</v>
      </c>
      <c r="H192" s="185">
        <f t="shared" si="46"/>
        <v>2687.49</v>
      </c>
      <c r="I192" s="185">
        <f t="shared" si="57"/>
        <v>2669.98</v>
      </c>
      <c r="J192" s="186">
        <f t="shared" si="47"/>
        <v>101459.24</v>
      </c>
      <c r="K192" s="187">
        <f t="shared" si="41"/>
        <v>102124.62</v>
      </c>
      <c r="L192" s="188">
        <f t="shared" si="59"/>
        <v>-665.3799999999901</v>
      </c>
      <c r="M192" s="189">
        <f t="shared" si="48"/>
        <v>-54.535615582964127</v>
      </c>
      <c r="N192" s="190">
        <f t="shared" si="49"/>
        <v>-719.91561558295427</v>
      </c>
      <c r="O192" s="189">
        <v>0</v>
      </c>
      <c r="P192" s="189">
        <v>0</v>
      </c>
      <c r="Q192" s="189">
        <v>0</v>
      </c>
      <c r="R192" s="190">
        <f t="shared" si="50"/>
        <v>-719.91561558295427</v>
      </c>
    </row>
    <row r="193" spans="1:18" x14ac:dyDescent="0.25">
      <c r="A193" s="146">
        <v>6</v>
      </c>
      <c r="B193" s="181">
        <f t="shared" si="45"/>
        <v>45078</v>
      </c>
      <c r="C193" s="204">
        <f t="shared" si="58"/>
        <v>45112</v>
      </c>
      <c r="D193" s="204">
        <f t="shared" si="58"/>
        <v>45131</v>
      </c>
      <c r="E193" s="52" t="s">
        <v>57</v>
      </c>
      <c r="F193" s="221">
        <v>9</v>
      </c>
      <c r="G193" s="184">
        <v>48</v>
      </c>
      <c r="H193" s="185">
        <f t="shared" si="46"/>
        <v>2687.49</v>
      </c>
      <c r="I193" s="185">
        <f t="shared" si="57"/>
        <v>2669.98</v>
      </c>
      <c r="J193" s="186">
        <f t="shared" si="47"/>
        <v>128159.04000000001</v>
      </c>
      <c r="K193" s="187">
        <f t="shared" si="41"/>
        <v>128999.51999999999</v>
      </c>
      <c r="L193" s="192">
        <f t="shared" si="59"/>
        <v>-840.47999999998137</v>
      </c>
      <c r="M193" s="189">
        <f t="shared" si="48"/>
        <v>-68.887093367954677</v>
      </c>
      <c r="N193" s="190">
        <f t="shared" si="49"/>
        <v>-909.36709336793604</v>
      </c>
      <c r="O193" s="189">
        <v>0</v>
      </c>
      <c r="P193" s="189">
        <v>0</v>
      </c>
      <c r="Q193" s="189">
        <v>0</v>
      </c>
      <c r="R193" s="190">
        <f t="shared" si="50"/>
        <v>-909.36709336793604</v>
      </c>
    </row>
    <row r="194" spans="1:18" x14ac:dyDescent="0.25">
      <c r="A194" s="110">
        <v>7</v>
      </c>
      <c r="B194" s="181">
        <f t="shared" si="45"/>
        <v>45108</v>
      </c>
      <c r="C194" s="204">
        <f t="shared" si="58"/>
        <v>45141</v>
      </c>
      <c r="D194" s="204">
        <f t="shared" si="58"/>
        <v>45162</v>
      </c>
      <c r="E194" s="52" t="s">
        <v>57</v>
      </c>
      <c r="F194" s="221">
        <v>9</v>
      </c>
      <c r="G194" s="184">
        <v>49</v>
      </c>
      <c r="H194" s="185">
        <f t="shared" si="46"/>
        <v>2687.49</v>
      </c>
      <c r="I194" s="185">
        <f t="shared" si="57"/>
        <v>2669.98</v>
      </c>
      <c r="J194" s="186">
        <f t="shared" si="47"/>
        <v>130829.02</v>
      </c>
      <c r="K194" s="193">
        <f t="shared" si="41"/>
        <v>131687.00999999998</v>
      </c>
      <c r="L194" s="192">
        <f t="shared" si="59"/>
        <v>-857.98999999997613</v>
      </c>
      <c r="M194" s="189">
        <f t="shared" si="48"/>
        <v>-70.322241146453734</v>
      </c>
      <c r="N194" s="190">
        <f t="shared" si="49"/>
        <v>-928.31224114642987</v>
      </c>
      <c r="O194" s="189">
        <v>0</v>
      </c>
      <c r="P194" s="189">
        <v>0</v>
      </c>
      <c r="Q194" s="189">
        <v>0</v>
      </c>
      <c r="R194" s="190">
        <f t="shared" si="50"/>
        <v>-928.31224114642987</v>
      </c>
    </row>
    <row r="195" spans="1:18" x14ac:dyDescent="0.25">
      <c r="A195" s="146">
        <v>8</v>
      </c>
      <c r="B195" s="181">
        <f t="shared" si="45"/>
        <v>45139</v>
      </c>
      <c r="C195" s="204">
        <f t="shared" si="58"/>
        <v>45174</v>
      </c>
      <c r="D195" s="204">
        <f t="shared" si="58"/>
        <v>45194</v>
      </c>
      <c r="E195" s="52" t="s">
        <v>57</v>
      </c>
      <c r="F195" s="221">
        <v>9</v>
      </c>
      <c r="G195" s="184">
        <v>50</v>
      </c>
      <c r="H195" s="185">
        <f t="shared" si="46"/>
        <v>2687.49</v>
      </c>
      <c r="I195" s="185">
        <f t="shared" si="57"/>
        <v>2669.98</v>
      </c>
      <c r="J195" s="186">
        <f t="shared" si="47"/>
        <v>133499</v>
      </c>
      <c r="K195" s="193">
        <f t="shared" si="41"/>
        <v>134374.5</v>
      </c>
      <c r="L195" s="192">
        <f t="shared" si="59"/>
        <v>-875.5</v>
      </c>
      <c r="M195" s="189">
        <f t="shared" si="48"/>
        <v>-71.757388924952792</v>
      </c>
      <c r="N195" s="190">
        <f t="shared" si="49"/>
        <v>-947.25738892495281</v>
      </c>
      <c r="O195" s="189">
        <v>0</v>
      </c>
      <c r="P195" s="189">
        <v>0</v>
      </c>
      <c r="Q195" s="189">
        <v>0</v>
      </c>
      <c r="R195" s="190">
        <f t="shared" si="50"/>
        <v>-947.25738892495281</v>
      </c>
    </row>
    <row r="196" spans="1:18" x14ac:dyDescent="0.25">
      <c r="A196" s="146">
        <v>9</v>
      </c>
      <c r="B196" s="181">
        <f t="shared" si="45"/>
        <v>45170</v>
      </c>
      <c r="C196" s="204">
        <f t="shared" si="58"/>
        <v>45203</v>
      </c>
      <c r="D196" s="204">
        <f t="shared" si="58"/>
        <v>45223</v>
      </c>
      <c r="E196" s="52" t="s">
        <v>57</v>
      </c>
      <c r="F196" s="221">
        <v>9</v>
      </c>
      <c r="G196" s="184">
        <v>47</v>
      </c>
      <c r="H196" s="185">
        <f t="shared" si="46"/>
        <v>2687.49</v>
      </c>
      <c r="I196" s="185">
        <f t="shared" si="57"/>
        <v>2669.98</v>
      </c>
      <c r="J196" s="186">
        <f t="shared" si="47"/>
        <v>125489.06</v>
      </c>
      <c r="K196" s="193">
        <f t="shared" si="41"/>
        <v>126312.02999999998</v>
      </c>
      <c r="L196" s="192">
        <f t="shared" si="59"/>
        <v>-822.96999999998661</v>
      </c>
      <c r="M196" s="189">
        <f t="shared" si="48"/>
        <v>-67.451945589455619</v>
      </c>
      <c r="N196" s="190">
        <f t="shared" si="49"/>
        <v>-890.4219455894422</v>
      </c>
      <c r="O196" s="189">
        <v>0</v>
      </c>
      <c r="P196" s="189">
        <v>0</v>
      </c>
      <c r="Q196" s="189">
        <v>0</v>
      </c>
      <c r="R196" s="190">
        <f t="shared" si="50"/>
        <v>-890.4219455894422</v>
      </c>
    </row>
    <row r="197" spans="1:18" x14ac:dyDescent="0.25">
      <c r="A197" s="110">
        <v>10</v>
      </c>
      <c r="B197" s="181">
        <f t="shared" si="45"/>
        <v>45200</v>
      </c>
      <c r="C197" s="204">
        <f t="shared" si="58"/>
        <v>45233</v>
      </c>
      <c r="D197" s="204">
        <f t="shared" si="58"/>
        <v>45254</v>
      </c>
      <c r="E197" s="52" t="s">
        <v>57</v>
      </c>
      <c r="F197" s="221">
        <v>9</v>
      </c>
      <c r="G197" s="184">
        <v>36</v>
      </c>
      <c r="H197" s="185">
        <f t="shared" si="46"/>
        <v>2687.49</v>
      </c>
      <c r="I197" s="185">
        <f t="shared" si="57"/>
        <v>2669.98</v>
      </c>
      <c r="J197" s="186">
        <f t="shared" si="47"/>
        <v>96119.28</v>
      </c>
      <c r="K197" s="193">
        <f t="shared" si="41"/>
        <v>96749.639999999985</v>
      </c>
      <c r="L197" s="192">
        <f t="shared" si="59"/>
        <v>-630.35999999998603</v>
      </c>
      <c r="M197" s="189">
        <f t="shared" si="48"/>
        <v>-51.665320025966011</v>
      </c>
      <c r="N197" s="190">
        <f t="shared" si="49"/>
        <v>-682.02532002595206</v>
      </c>
      <c r="O197" s="189">
        <v>0</v>
      </c>
      <c r="P197" s="189">
        <v>0</v>
      </c>
      <c r="Q197" s="189">
        <v>0</v>
      </c>
      <c r="R197" s="190">
        <f t="shared" si="50"/>
        <v>-682.02532002595206</v>
      </c>
    </row>
    <row r="198" spans="1:18" x14ac:dyDescent="0.25">
      <c r="A198" s="146">
        <v>11</v>
      </c>
      <c r="B198" s="181">
        <f t="shared" si="45"/>
        <v>45231</v>
      </c>
      <c r="C198" s="204">
        <f t="shared" si="58"/>
        <v>45266</v>
      </c>
      <c r="D198" s="204">
        <f t="shared" si="58"/>
        <v>45285</v>
      </c>
      <c r="E198" s="52" t="s">
        <v>57</v>
      </c>
      <c r="F198" s="221">
        <v>9</v>
      </c>
      <c r="G198" s="184">
        <v>26</v>
      </c>
      <c r="H198" s="185">
        <f t="shared" si="46"/>
        <v>2687.49</v>
      </c>
      <c r="I198" s="185">
        <f t="shared" si="57"/>
        <v>2669.98</v>
      </c>
      <c r="J198" s="186">
        <f t="shared" si="47"/>
        <v>69419.48</v>
      </c>
      <c r="K198" s="193">
        <f t="shared" ref="K198:K209" si="60">+$G198*H198</f>
        <v>69874.739999999991</v>
      </c>
      <c r="L198" s="192">
        <f t="shared" si="59"/>
        <v>-455.25999999999476</v>
      </c>
      <c r="M198" s="189">
        <f t="shared" si="48"/>
        <v>-37.313842240975447</v>
      </c>
      <c r="N198" s="190">
        <f t="shared" si="49"/>
        <v>-492.57384224097018</v>
      </c>
      <c r="O198" s="189">
        <v>0</v>
      </c>
      <c r="P198" s="189">
        <v>0</v>
      </c>
      <c r="Q198" s="189">
        <v>0</v>
      </c>
      <c r="R198" s="190">
        <f t="shared" si="50"/>
        <v>-492.57384224097018</v>
      </c>
    </row>
    <row r="199" spans="1:18" s="208" customFormat="1" x14ac:dyDescent="0.25">
      <c r="A199" s="146">
        <v>12</v>
      </c>
      <c r="B199" s="206">
        <f t="shared" si="45"/>
        <v>45261</v>
      </c>
      <c r="C199" s="204">
        <f t="shared" si="58"/>
        <v>45294</v>
      </c>
      <c r="D199" s="204">
        <f t="shared" si="58"/>
        <v>45315</v>
      </c>
      <c r="E199" s="207" t="s">
        <v>57</v>
      </c>
      <c r="F199" s="223">
        <v>9</v>
      </c>
      <c r="G199" s="196">
        <v>31</v>
      </c>
      <c r="H199" s="197">
        <f t="shared" si="46"/>
        <v>2687.49</v>
      </c>
      <c r="I199" s="197">
        <f t="shared" si="57"/>
        <v>2669.98</v>
      </c>
      <c r="J199" s="198">
        <f t="shared" si="47"/>
        <v>82769.38</v>
      </c>
      <c r="K199" s="199">
        <f t="shared" si="60"/>
        <v>83312.189999999988</v>
      </c>
      <c r="L199" s="200">
        <f t="shared" si="59"/>
        <v>-542.80999999998312</v>
      </c>
      <c r="M199" s="189">
        <f t="shared" si="48"/>
        <v>-44.489581133470729</v>
      </c>
      <c r="N199" s="190">
        <f t="shared" si="49"/>
        <v>-587.2995811334539</v>
      </c>
      <c r="O199" s="189">
        <v>0</v>
      </c>
      <c r="P199" s="189">
        <v>0</v>
      </c>
      <c r="Q199" s="189">
        <v>0</v>
      </c>
      <c r="R199" s="190">
        <f t="shared" si="50"/>
        <v>-587.2995811334539</v>
      </c>
    </row>
    <row r="200" spans="1:18" x14ac:dyDescent="0.25">
      <c r="A200" s="110">
        <v>1</v>
      </c>
      <c r="B200" s="181">
        <f t="shared" si="45"/>
        <v>44927</v>
      </c>
      <c r="C200" s="202">
        <f t="shared" si="58"/>
        <v>44960</v>
      </c>
      <c r="D200" s="202">
        <f t="shared" si="58"/>
        <v>44981</v>
      </c>
      <c r="E200" s="183" t="s">
        <v>17</v>
      </c>
      <c r="F200" s="133">
        <v>9</v>
      </c>
      <c r="G200" s="184">
        <v>104</v>
      </c>
      <c r="H200" s="185">
        <f t="shared" si="46"/>
        <v>2687.49</v>
      </c>
      <c r="I200" s="185">
        <f t="shared" si="57"/>
        <v>2669.98</v>
      </c>
      <c r="J200" s="186">
        <f t="shared" si="47"/>
        <v>277677.92</v>
      </c>
      <c r="K200" s="187">
        <f t="shared" si="60"/>
        <v>279498.95999999996</v>
      </c>
      <c r="L200" s="188">
        <f t="shared" si="59"/>
        <v>-1821.039999999979</v>
      </c>
      <c r="M200" s="189">
        <f t="shared" si="48"/>
        <v>-149.25536896390179</v>
      </c>
      <c r="N200" s="190">
        <f t="shared" si="49"/>
        <v>-1970.2953689638807</v>
      </c>
      <c r="O200" s="189">
        <v>0</v>
      </c>
      <c r="P200" s="189">
        <v>0</v>
      </c>
      <c r="Q200" s="189">
        <v>0</v>
      </c>
      <c r="R200" s="190">
        <f t="shared" si="50"/>
        <v>-1970.2953689638807</v>
      </c>
    </row>
    <row r="201" spans="1:18" x14ac:dyDescent="0.25">
      <c r="A201" s="146">
        <v>2</v>
      </c>
      <c r="B201" s="181">
        <f t="shared" si="45"/>
        <v>44958</v>
      </c>
      <c r="C201" s="204">
        <f t="shared" si="58"/>
        <v>44988</v>
      </c>
      <c r="D201" s="204">
        <f t="shared" si="58"/>
        <v>45009</v>
      </c>
      <c r="E201" s="191" t="s">
        <v>17</v>
      </c>
      <c r="F201" s="221">
        <v>9</v>
      </c>
      <c r="G201" s="184">
        <v>107</v>
      </c>
      <c r="H201" s="185">
        <f t="shared" si="46"/>
        <v>2687.49</v>
      </c>
      <c r="I201" s="185">
        <f t="shared" si="57"/>
        <v>2669.98</v>
      </c>
      <c r="J201" s="186">
        <f t="shared" si="47"/>
        <v>285687.86</v>
      </c>
      <c r="K201" s="187">
        <f t="shared" si="60"/>
        <v>287561.43</v>
      </c>
      <c r="L201" s="188">
        <f t="shared" si="59"/>
        <v>-1873.570000000007</v>
      </c>
      <c r="M201" s="189">
        <f t="shared" si="48"/>
        <v>-153.56081229939898</v>
      </c>
      <c r="N201" s="190">
        <f t="shared" si="49"/>
        <v>-2027.130812299406</v>
      </c>
      <c r="O201" s="189">
        <v>0</v>
      </c>
      <c r="P201" s="189">
        <v>0</v>
      </c>
      <c r="Q201" s="189">
        <v>0</v>
      </c>
      <c r="R201" s="190">
        <f t="shared" si="50"/>
        <v>-2027.130812299406</v>
      </c>
    </row>
    <row r="202" spans="1:18" x14ac:dyDescent="0.25">
      <c r="A202" s="146">
        <v>3</v>
      </c>
      <c r="B202" s="181">
        <f t="shared" si="45"/>
        <v>44986</v>
      </c>
      <c r="C202" s="204">
        <f t="shared" si="58"/>
        <v>45021</v>
      </c>
      <c r="D202" s="204">
        <f t="shared" si="58"/>
        <v>45040</v>
      </c>
      <c r="E202" s="191" t="s">
        <v>17</v>
      </c>
      <c r="F202" s="221">
        <v>9</v>
      </c>
      <c r="G202" s="184">
        <v>103</v>
      </c>
      <c r="H202" s="185">
        <f t="shared" si="46"/>
        <v>2687.49</v>
      </c>
      <c r="I202" s="185">
        <f t="shared" si="57"/>
        <v>2669.98</v>
      </c>
      <c r="J202" s="186">
        <f t="shared" si="47"/>
        <v>275007.94</v>
      </c>
      <c r="K202" s="187">
        <f t="shared" si="60"/>
        <v>276811.46999999997</v>
      </c>
      <c r="L202" s="188">
        <f>+J202-K202</f>
        <v>-1803.5299999999697</v>
      </c>
      <c r="M202" s="189">
        <f t="shared" si="48"/>
        <v>-147.82022118540274</v>
      </c>
      <c r="N202" s="190">
        <f t="shared" si="49"/>
        <v>-1951.3502211853724</v>
      </c>
      <c r="O202" s="189">
        <v>0</v>
      </c>
      <c r="P202" s="189">
        <v>0</v>
      </c>
      <c r="Q202" s="189">
        <v>0</v>
      </c>
      <c r="R202" s="190">
        <f t="shared" si="50"/>
        <v>-1951.3502211853724</v>
      </c>
    </row>
    <row r="203" spans="1:18" x14ac:dyDescent="0.25">
      <c r="A203" s="110">
        <v>4</v>
      </c>
      <c r="B203" s="181">
        <f t="shared" si="45"/>
        <v>45017</v>
      </c>
      <c r="C203" s="204">
        <f t="shared" si="58"/>
        <v>45049</v>
      </c>
      <c r="D203" s="204">
        <f t="shared" si="58"/>
        <v>45070</v>
      </c>
      <c r="E203" s="191" t="s">
        <v>17</v>
      </c>
      <c r="F203" s="221">
        <v>9</v>
      </c>
      <c r="G203" s="184">
        <v>98</v>
      </c>
      <c r="H203" s="185">
        <f t="shared" si="46"/>
        <v>2687.49</v>
      </c>
      <c r="I203" s="185">
        <f t="shared" si="57"/>
        <v>2669.98</v>
      </c>
      <c r="J203" s="186">
        <f t="shared" si="47"/>
        <v>261658.04</v>
      </c>
      <c r="K203" s="187">
        <f t="shared" si="60"/>
        <v>263374.01999999996</v>
      </c>
      <c r="L203" s="188">
        <f t="shared" ref="L203:L211" si="61">+J203-K203</f>
        <v>-1715.9799999999523</v>
      </c>
      <c r="M203" s="189">
        <f t="shared" si="48"/>
        <v>-140.64448229290747</v>
      </c>
      <c r="N203" s="190">
        <f t="shared" si="49"/>
        <v>-1856.6244822928597</v>
      </c>
      <c r="O203" s="189">
        <v>0</v>
      </c>
      <c r="P203" s="189">
        <v>0</v>
      </c>
      <c r="Q203" s="189">
        <v>0</v>
      </c>
      <c r="R203" s="190">
        <f t="shared" si="50"/>
        <v>-1856.6244822928597</v>
      </c>
    </row>
    <row r="204" spans="1:18" x14ac:dyDescent="0.25">
      <c r="A204" s="146">
        <v>5</v>
      </c>
      <c r="B204" s="181">
        <f t="shared" si="45"/>
        <v>45047</v>
      </c>
      <c r="C204" s="204">
        <f t="shared" si="58"/>
        <v>45082</v>
      </c>
      <c r="D204" s="204">
        <f t="shared" si="58"/>
        <v>45103</v>
      </c>
      <c r="E204" s="52" t="s">
        <v>17</v>
      </c>
      <c r="F204" s="221">
        <v>9</v>
      </c>
      <c r="G204" s="184">
        <v>105</v>
      </c>
      <c r="H204" s="185">
        <f t="shared" si="46"/>
        <v>2687.49</v>
      </c>
      <c r="I204" s="185">
        <f t="shared" si="57"/>
        <v>2669.98</v>
      </c>
      <c r="J204" s="186">
        <f t="shared" si="47"/>
        <v>280347.90000000002</v>
      </c>
      <c r="K204" s="187">
        <f t="shared" si="60"/>
        <v>282186.44999999995</v>
      </c>
      <c r="L204" s="188">
        <f t="shared" si="61"/>
        <v>-1838.5499999999302</v>
      </c>
      <c r="M204" s="189">
        <f t="shared" si="48"/>
        <v>-150.69051674240086</v>
      </c>
      <c r="N204" s="190">
        <f t="shared" si="49"/>
        <v>-1989.240516742331</v>
      </c>
      <c r="O204" s="189">
        <v>0</v>
      </c>
      <c r="P204" s="189">
        <v>0</v>
      </c>
      <c r="Q204" s="189">
        <v>0</v>
      </c>
      <c r="R204" s="190">
        <f t="shared" si="50"/>
        <v>-1989.240516742331</v>
      </c>
    </row>
    <row r="205" spans="1:18" x14ac:dyDescent="0.25">
      <c r="A205" s="146">
        <v>6</v>
      </c>
      <c r="B205" s="181">
        <f t="shared" si="45"/>
        <v>45078</v>
      </c>
      <c r="C205" s="204">
        <f t="shared" si="58"/>
        <v>45112</v>
      </c>
      <c r="D205" s="204">
        <f t="shared" si="58"/>
        <v>45131</v>
      </c>
      <c r="E205" s="52" t="s">
        <v>17</v>
      </c>
      <c r="F205" s="221">
        <v>9</v>
      </c>
      <c r="G205" s="184">
        <v>115</v>
      </c>
      <c r="H205" s="185">
        <f t="shared" si="46"/>
        <v>2687.49</v>
      </c>
      <c r="I205" s="185">
        <f t="shared" si="57"/>
        <v>2669.98</v>
      </c>
      <c r="J205" s="186">
        <f t="shared" si="47"/>
        <v>307047.7</v>
      </c>
      <c r="K205" s="187">
        <f t="shared" si="60"/>
        <v>309061.34999999998</v>
      </c>
      <c r="L205" s="192">
        <f t="shared" si="61"/>
        <v>-2013.6499999999651</v>
      </c>
      <c r="M205" s="189">
        <f t="shared" si="48"/>
        <v>-165.04199452739141</v>
      </c>
      <c r="N205" s="190">
        <f t="shared" si="49"/>
        <v>-2178.6919945273567</v>
      </c>
      <c r="O205" s="189">
        <v>0</v>
      </c>
      <c r="P205" s="189">
        <v>0</v>
      </c>
      <c r="Q205" s="189">
        <v>0</v>
      </c>
      <c r="R205" s="190">
        <f t="shared" si="50"/>
        <v>-2178.6919945273567</v>
      </c>
    </row>
    <row r="206" spans="1:18" x14ac:dyDescent="0.25">
      <c r="A206" s="110">
        <v>7</v>
      </c>
      <c r="B206" s="181">
        <f t="shared" si="45"/>
        <v>45108</v>
      </c>
      <c r="C206" s="204">
        <f t="shared" si="58"/>
        <v>45141</v>
      </c>
      <c r="D206" s="204">
        <f t="shared" si="58"/>
        <v>45162</v>
      </c>
      <c r="E206" s="52" t="s">
        <v>17</v>
      </c>
      <c r="F206" s="221">
        <v>9</v>
      </c>
      <c r="G206" s="184">
        <v>110</v>
      </c>
      <c r="H206" s="185">
        <f t="shared" si="46"/>
        <v>2687.49</v>
      </c>
      <c r="I206" s="185">
        <f t="shared" si="57"/>
        <v>2669.98</v>
      </c>
      <c r="J206" s="186">
        <f t="shared" si="47"/>
        <v>293697.8</v>
      </c>
      <c r="K206" s="193">
        <f t="shared" si="60"/>
        <v>295623.89999999997</v>
      </c>
      <c r="L206" s="192">
        <f t="shared" si="61"/>
        <v>-1926.0999999999767</v>
      </c>
      <c r="M206" s="189">
        <f t="shared" si="48"/>
        <v>-157.86625563489616</v>
      </c>
      <c r="N206" s="190">
        <f t="shared" si="49"/>
        <v>-2083.9662556348731</v>
      </c>
      <c r="O206" s="189">
        <v>0</v>
      </c>
      <c r="P206" s="189">
        <v>0</v>
      </c>
      <c r="Q206" s="189">
        <v>0</v>
      </c>
      <c r="R206" s="190">
        <f t="shared" si="50"/>
        <v>-2083.9662556348731</v>
      </c>
    </row>
    <row r="207" spans="1:18" x14ac:dyDescent="0.25">
      <c r="A207" s="146">
        <v>8</v>
      </c>
      <c r="B207" s="181">
        <f t="shared" si="45"/>
        <v>45139</v>
      </c>
      <c r="C207" s="204">
        <f t="shared" si="58"/>
        <v>45174</v>
      </c>
      <c r="D207" s="204">
        <f t="shared" si="58"/>
        <v>45194</v>
      </c>
      <c r="E207" s="52" t="s">
        <v>17</v>
      </c>
      <c r="F207" s="221">
        <v>9</v>
      </c>
      <c r="G207" s="184">
        <v>109</v>
      </c>
      <c r="H207" s="185">
        <f t="shared" si="46"/>
        <v>2687.49</v>
      </c>
      <c r="I207" s="185">
        <f t="shared" si="57"/>
        <v>2669.98</v>
      </c>
      <c r="J207" s="186">
        <f t="shared" si="47"/>
        <v>291027.82</v>
      </c>
      <c r="K207" s="193">
        <f t="shared" si="60"/>
        <v>292936.40999999997</v>
      </c>
      <c r="L207" s="192">
        <f t="shared" si="61"/>
        <v>-1908.5899999999674</v>
      </c>
      <c r="M207" s="189">
        <f t="shared" si="48"/>
        <v>-156.43110785639709</v>
      </c>
      <c r="N207" s="190">
        <f t="shared" si="49"/>
        <v>-2065.0211078563643</v>
      </c>
      <c r="O207" s="189">
        <v>0</v>
      </c>
      <c r="P207" s="189">
        <v>0</v>
      </c>
      <c r="Q207" s="189">
        <v>0</v>
      </c>
      <c r="R207" s="190">
        <f t="shared" si="50"/>
        <v>-2065.0211078563643</v>
      </c>
    </row>
    <row r="208" spans="1:18" x14ac:dyDescent="0.25">
      <c r="A208" s="146">
        <v>9</v>
      </c>
      <c r="B208" s="181">
        <f t="shared" si="45"/>
        <v>45170</v>
      </c>
      <c r="C208" s="204">
        <f t="shared" si="58"/>
        <v>45203</v>
      </c>
      <c r="D208" s="204">
        <f t="shared" si="58"/>
        <v>45223</v>
      </c>
      <c r="E208" s="52" t="s">
        <v>17</v>
      </c>
      <c r="F208" s="221">
        <v>9</v>
      </c>
      <c r="G208" s="184">
        <v>112</v>
      </c>
      <c r="H208" s="185">
        <f t="shared" si="46"/>
        <v>2687.49</v>
      </c>
      <c r="I208" s="185">
        <f t="shared" si="57"/>
        <v>2669.98</v>
      </c>
      <c r="J208" s="186">
        <f t="shared" si="47"/>
        <v>299037.76</v>
      </c>
      <c r="K208" s="193">
        <f t="shared" si="60"/>
        <v>300998.88</v>
      </c>
      <c r="L208" s="192">
        <f t="shared" si="61"/>
        <v>-1961.1199999999953</v>
      </c>
      <c r="M208" s="189">
        <f t="shared" si="48"/>
        <v>-160.73655119189425</v>
      </c>
      <c r="N208" s="190">
        <f t="shared" si="49"/>
        <v>-2121.8565511918896</v>
      </c>
      <c r="O208" s="189">
        <v>0</v>
      </c>
      <c r="P208" s="189">
        <v>0</v>
      </c>
      <c r="Q208" s="189">
        <v>0</v>
      </c>
      <c r="R208" s="190">
        <f t="shared" si="50"/>
        <v>-2121.8565511918896</v>
      </c>
    </row>
    <row r="209" spans="1:18" x14ac:dyDescent="0.25">
      <c r="A209" s="110">
        <v>10</v>
      </c>
      <c r="B209" s="181">
        <f t="shared" si="45"/>
        <v>45200</v>
      </c>
      <c r="C209" s="204">
        <f t="shared" si="58"/>
        <v>45233</v>
      </c>
      <c r="D209" s="204">
        <f t="shared" si="58"/>
        <v>45254</v>
      </c>
      <c r="E209" s="52" t="s">
        <v>17</v>
      </c>
      <c r="F209" s="221">
        <v>9</v>
      </c>
      <c r="G209" s="184">
        <v>107</v>
      </c>
      <c r="H209" s="185">
        <f t="shared" si="46"/>
        <v>2687.49</v>
      </c>
      <c r="I209" s="185">
        <f t="shared" si="57"/>
        <v>2669.98</v>
      </c>
      <c r="J209" s="186">
        <f t="shared" si="47"/>
        <v>285687.86</v>
      </c>
      <c r="K209" s="193">
        <f t="shared" si="60"/>
        <v>287561.43</v>
      </c>
      <c r="L209" s="192">
        <f t="shared" si="61"/>
        <v>-1873.570000000007</v>
      </c>
      <c r="M209" s="189">
        <f t="shared" si="48"/>
        <v>-153.56081229939898</v>
      </c>
      <c r="N209" s="190">
        <f t="shared" si="49"/>
        <v>-2027.130812299406</v>
      </c>
      <c r="O209" s="189">
        <v>0</v>
      </c>
      <c r="P209" s="189">
        <v>0</v>
      </c>
      <c r="Q209" s="189">
        <v>0</v>
      </c>
      <c r="R209" s="190">
        <f t="shared" si="50"/>
        <v>-2027.130812299406</v>
      </c>
    </row>
    <row r="210" spans="1:18" x14ac:dyDescent="0.25">
      <c r="A210" s="146">
        <v>11</v>
      </c>
      <c r="B210" s="181">
        <f t="shared" si="45"/>
        <v>45231</v>
      </c>
      <c r="C210" s="204">
        <f t="shared" si="58"/>
        <v>45266</v>
      </c>
      <c r="D210" s="204">
        <f t="shared" si="58"/>
        <v>45285</v>
      </c>
      <c r="E210" s="52" t="s">
        <v>17</v>
      </c>
      <c r="F210" s="221">
        <v>9</v>
      </c>
      <c r="G210" s="184">
        <v>104</v>
      </c>
      <c r="H210" s="185">
        <f t="shared" si="46"/>
        <v>2687.49</v>
      </c>
      <c r="I210" s="185">
        <f t="shared" si="57"/>
        <v>2669.98</v>
      </c>
      <c r="J210" s="186">
        <f t="shared" si="47"/>
        <v>277677.92</v>
      </c>
      <c r="K210" s="193">
        <f>+$G210*H210</f>
        <v>279498.95999999996</v>
      </c>
      <c r="L210" s="192">
        <f t="shared" si="61"/>
        <v>-1821.039999999979</v>
      </c>
      <c r="M210" s="189">
        <f t="shared" si="48"/>
        <v>-149.25536896390179</v>
      </c>
      <c r="N210" s="190">
        <f t="shared" si="49"/>
        <v>-1970.2953689638807</v>
      </c>
      <c r="O210" s="189">
        <v>0</v>
      </c>
      <c r="P210" s="189">
        <v>0</v>
      </c>
      <c r="Q210" s="189">
        <v>0</v>
      </c>
      <c r="R210" s="190">
        <f t="shared" si="50"/>
        <v>-1970.2953689638807</v>
      </c>
    </row>
    <row r="211" spans="1:18" s="208" customFormat="1" x14ac:dyDescent="0.25">
      <c r="A211" s="146">
        <v>12</v>
      </c>
      <c r="B211" s="206">
        <f t="shared" si="45"/>
        <v>45261</v>
      </c>
      <c r="C211" s="209">
        <f t="shared" si="58"/>
        <v>45294</v>
      </c>
      <c r="D211" s="209">
        <f t="shared" si="58"/>
        <v>45315</v>
      </c>
      <c r="E211" s="207" t="s">
        <v>17</v>
      </c>
      <c r="F211" s="223">
        <v>9</v>
      </c>
      <c r="G211" s="196">
        <v>101</v>
      </c>
      <c r="H211" s="197">
        <f t="shared" si="46"/>
        <v>2687.49</v>
      </c>
      <c r="I211" s="197">
        <f t="shared" si="57"/>
        <v>2669.98</v>
      </c>
      <c r="J211" s="198">
        <f t="shared" si="47"/>
        <v>269667.98</v>
      </c>
      <c r="K211" s="199">
        <f>+$G211*H211</f>
        <v>271436.49</v>
      </c>
      <c r="L211" s="200">
        <f t="shared" si="61"/>
        <v>-1768.5100000000093</v>
      </c>
      <c r="M211" s="198">
        <f t="shared" si="48"/>
        <v>-144.94992562840466</v>
      </c>
      <c r="N211" s="190">
        <f t="shared" si="49"/>
        <v>-1913.4599256284139</v>
      </c>
      <c r="O211" s="189">
        <v>0</v>
      </c>
      <c r="P211" s="189">
        <v>0</v>
      </c>
      <c r="Q211" s="189">
        <v>0</v>
      </c>
      <c r="R211" s="190">
        <f t="shared" si="50"/>
        <v>-1913.4599256284139</v>
      </c>
    </row>
    <row r="212" spans="1:18" x14ac:dyDescent="0.25">
      <c r="G212" s="214">
        <f>SUM(G20:G211)</f>
        <v>102178</v>
      </c>
      <c r="H212" s="49"/>
      <c r="I212" s="49"/>
      <c r="J212" s="49">
        <f>SUM(J20:J211)</f>
        <v>272813216.44000036</v>
      </c>
      <c r="K212" s="49">
        <f>SUM(K20:K211)</f>
        <v>274602353.22000009</v>
      </c>
      <c r="L212" s="49">
        <f>SUM(L20:L211)</f>
        <v>-1789136.7799999812</v>
      </c>
      <c r="M212" s="49">
        <f>SUM(M20:M211)</f>
        <v>-146640.52971147667</v>
      </c>
      <c r="N212" s="49"/>
      <c r="O212" s="49"/>
      <c r="P212" s="49">
        <f>SUM(P20:P211)</f>
        <v>0</v>
      </c>
      <c r="Q212" s="49"/>
      <c r="R212" s="215">
        <f>SUM(R20:R211)</f>
        <v>-1935777.3097114551</v>
      </c>
    </row>
    <row r="213" spans="1:18" x14ac:dyDescent="0.25">
      <c r="P213" s="49"/>
      <c r="Q213" s="49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39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jowN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jozN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450285AF-BA6B-4E34-8A33-348A192DBC8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1EC338C-0017-47F8-AEA2-641A4BE4625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2021 NOLC Refund Detail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Jeffrey S Dornsife</cp:lastModifiedBy>
  <cp:lastPrinted>2024-06-13T14:49:15Z</cp:lastPrinted>
  <dcterms:created xsi:type="dcterms:W3CDTF">2009-09-04T18:19:13Z</dcterms:created>
  <dcterms:modified xsi:type="dcterms:W3CDTF">2024-06-13T14:49:48Z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a7ee4e5d-425d-498f-aebd-2f3d9da74dc5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{450285AF-BA6B-4E34-8A33-348A192DBC81}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